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5\2024.12.31 Financials for Jan 27 Board Meeting\"/>
    </mc:Choice>
  </mc:AlternateContent>
  <xr:revisionPtr revIDLastSave="0" documentId="13_ncr:1_{9D603205-8B75-41DB-99CA-5DC84BB33C55}" xr6:coauthVersionLast="47" xr6:coauthVersionMax="47" xr10:uidLastSave="{00000000-0000-0000-0000-000000000000}"/>
  <bookViews>
    <workbookView xWindow="-120" yWindow="-120" windowWidth="20730" windowHeight="11160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Actuals'!$4:$6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2" l="1"/>
  <c r="K15" i="12"/>
  <c r="K12" i="12"/>
  <c r="L12" i="12" s="1"/>
  <c r="K11" i="12"/>
  <c r="K10" i="12"/>
  <c r="K9" i="12"/>
  <c r="L9" i="12" s="1"/>
  <c r="K7" i="12"/>
  <c r="B13" i="12"/>
  <c r="B15" i="12" s="1"/>
  <c r="B16" i="12" s="1"/>
  <c r="C12" i="12"/>
  <c r="C11" i="12"/>
  <c r="C13" i="12" s="1"/>
  <c r="C15" i="12" s="1"/>
  <c r="C16" i="12" s="1"/>
  <c r="B11" i="12"/>
  <c r="L7" i="12"/>
  <c r="G8" i="12"/>
  <c r="H8" i="12"/>
  <c r="G10" i="12"/>
  <c r="L10" i="12" s="1"/>
  <c r="D11" i="12"/>
  <c r="D13" i="12" s="1"/>
  <c r="D15" i="12" s="1"/>
  <c r="D16" i="12" s="1"/>
  <c r="E11" i="12"/>
  <c r="F11" i="12"/>
  <c r="G11" i="12"/>
  <c r="H11" i="12"/>
  <c r="I11" i="12"/>
  <c r="J11" i="12"/>
  <c r="J13" i="12" s="1"/>
  <c r="J15" i="12" s="1"/>
  <c r="J16" i="12" s="1"/>
  <c r="E13" i="12"/>
  <c r="E15" i="12" s="1"/>
  <c r="E16" i="12" s="1"/>
  <c r="F13" i="12"/>
  <c r="F15" i="12" s="1"/>
  <c r="F16" i="12" s="1"/>
  <c r="G13" i="12"/>
  <c r="H13" i="12"/>
  <c r="I13" i="12"/>
  <c r="G14" i="12"/>
  <c r="L14" i="12"/>
  <c r="G15" i="12"/>
  <c r="H15" i="12"/>
  <c r="H16" i="12" s="1"/>
  <c r="I15" i="12"/>
  <c r="I16" i="12" s="1"/>
  <c r="G16" i="12"/>
  <c r="C62" i="1"/>
  <c r="B62" i="1"/>
  <c r="C61" i="1"/>
  <c r="B61" i="1"/>
  <c r="C60" i="1"/>
  <c r="B60" i="1"/>
  <c r="C59" i="1"/>
  <c r="B59" i="1"/>
  <c r="C58" i="1"/>
  <c r="C63" i="1" s="1"/>
  <c r="B58" i="1"/>
  <c r="B63" i="1" s="1"/>
  <c r="C53" i="1"/>
  <c r="B53" i="1"/>
  <c r="C52" i="1"/>
  <c r="B52" i="1"/>
  <c r="C51" i="1"/>
  <c r="C54" i="1" s="1"/>
  <c r="B51" i="1"/>
  <c r="B54" i="1" s="1"/>
  <c r="C48" i="1"/>
  <c r="C49" i="1" s="1"/>
  <c r="B48" i="1"/>
  <c r="B49" i="1" s="1"/>
  <c r="C41" i="1"/>
  <c r="B41" i="1"/>
  <c r="C40" i="1"/>
  <c r="B40" i="1"/>
  <c r="C39" i="1"/>
  <c r="B39" i="1"/>
  <c r="C38" i="1"/>
  <c r="C42" i="1" s="1"/>
  <c r="C43" i="1" s="1"/>
  <c r="B38" i="1"/>
  <c r="C37" i="1"/>
  <c r="B37" i="1"/>
  <c r="B42" i="1" s="1"/>
  <c r="C35" i="1"/>
  <c r="B35" i="1"/>
  <c r="C34" i="1"/>
  <c r="B34" i="1"/>
  <c r="C33" i="1"/>
  <c r="B33" i="1"/>
  <c r="C32" i="1"/>
  <c r="B32" i="1"/>
  <c r="C29" i="1"/>
  <c r="B29" i="1"/>
  <c r="C28" i="1"/>
  <c r="B28" i="1"/>
  <c r="C27" i="1"/>
  <c r="B27" i="1"/>
  <c r="C26" i="1"/>
  <c r="B26" i="1"/>
  <c r="B30" i="1" s="1"/>
  <c r="C19" i="1"/>
  <c r="B19" i="1"/>
  <c r="C16" i="1"/>
  <c r="B16" i="1"/>
  <c r="C15" i="1"/>
  <c r="B15" i="1"/>
  <c r="C14" i="1"/>
  <c r="B14" i="1"/>
  <c r="C13" i="1"/>
  <c r="B13" i="1"/>
  <c r="C12" i="1"/>
  <c r="B12" i="1"/>
  <c r="C11" i="1"/>
  <c r="B11" i="1"/>
  <c r="B7" i="9"/>
  <c r="F6" i="9"/>
  <c r="F7" i="9" s="1"/>
  <c r="E6" i="9"/>
  <c r="E7" i="9" s="1"/>
  <c r="D6" i="9"/>
  <c r="D7" i="9" s="1"/>
  <c r="C6" i="9"/>
  <c r="C7" i="9" s="1"/>
  <c r="B6" i="9"/>
  <c r="G6" i="9" s="1"/>
  <c r="F11" i="4"/>
  <c r="E11" i="4"/>
  <c r="C10" i="4"/>
  <c r="G10" i="4" s="1"/>
  <c r="G9" i="4"/>
  <c r="B9" i="4"/>
  <c r="D8" i="4"/>
  <c r="G8" i="4" s="1"/>
  <c r="B7" i="4"/>
  <c r="B11" i="4" s="1"/>
  <c r="C6" i="4"/>
  <c r="C11" i="4" s="1"/>
  <c r="E77" i="2"/>
  <c r="D77" i="2"/>
  <c r="C77" i="2"/>
  <c r="C78" i="2" s="1"/>
  <c r="E78" i="2" s="1"/>
  <c r="B77" i="2"/>
  <c r="B78" i="2" s="1"/>
  <c r="D78" i="2" s="1"/>
  <c r="C73" i="2"/>
  <c r="E73" i="2" s="1"/>
  <c r="B73" i="2"/>
  <c r="D73" i="2" s="1"/>
  <c r="E72" i="2"/>
  <c r="D72" i="2"/>
  <c r="C72" i="2"/>
  <c r="B72" i="2"/>
  <c r="C71" i="2"/>
  <c r="E71" i="2" s="1"/>
  <c r="B71" i="2"/>
  <c r="D71" i="2" s="1"/>
  <c r="E70" i="2"/>
  <c r="D70" i="2"/>
  <c r="C70" i="2"/>
  <c r="C74" i="2" s="1"/>
  <c r="E74" i="2" s="1"/>
  <c r="B70" i="2"/>
  <c r="B74" i="2" s="1"/>
  <c r="D74" i="2" s="1"/>
  <c r="C69" i="2"/>
  <c r="E69" i="2" s="1"/>
  <c r="C68" i="2"/>
  <c r="B68" i="2"/>
  <c r="E64" i="2"/>
  <c r="C64" i="2"/>
  <c r="B64" i="2"/>
  <c r="D64" i="2" s="1"/>
  <c r="C63" i="2"/>
  <c r="E63" i="2" s="1"/>
  <c r="C61" i="2"/>
  <c r="E61" i="2" s="1"/>
  <c r="B61" i="2"/>
  <c r="D61" i="2" s="1"/>
  <c r="E60" i="2"/>
  <c r="D60" i="2"/>
  <c r="C60" i="2"/>
  <c r="C59" i="2"/>
  <c r="E59" i="2" s="1"/>
  <c r="B59" i="2"/>
  <c r="D59" i="2" s="1"/>
  <c r="E58" i="2"/>
  <c r="C58" i="2"/>
  <c r="D58" i="2" s="1"/>
  <c r="B58" i="2"/>
  <c r="B62" i="2" s="1"/>
  <c r="D62" i="2" s="1"/>
  <c r="D57" i="2"/>
  <c r="C57" i="2"/>
  <c r="C62" i="2" s="1"/>
  <c r="C55" i="2"/>
  <c r="E55" i="2" s="1"/>
  <c r="B55" i="2"/>
  <c r="D55" i="2" s="1"/>
  <c r="E54" i="2"/>
  <c r="D54" i="2"/>
  <c r="C54" i="2"/>
  <c r="E53" i="2"/>
  <c r="C53" i="2"/>
  <c r="B53" i="2"/>
  <c r="D53" i="2" s="1"/>
  <c r="C52" i="2"/>
  <c r="E52" i="2" s="1"/>
  <c r="E51" i="2"/>
  <c r="D51" i="2"/>
  <c r="C51" i="2"/>
  <c r="B51" i="2"/>
  <c r="C50" i="2"/>
  <c r="E50" i="2" s="1"/>
  <c r="B50" i="2"/>
  <c r="D50" i="2" s="1"/>
  <c r="E49" i="2"/>
  <c r="D49" i="2"/>
  <c r="C49" i="2"/>
  <c r="E47" i="2"/>
  <c r="C47" i="2"/>
  <c r="D47" i="2" s="1"/>
  <c r="B47" i="2"/>
  <c r="C46" i="2"/>
  <c r="E46" i="2" s="1"/>
  <c r="B46" i="2"/>
  <c r="D46" i="2" s="1"/>
  <c r="E45" i="2"/>
  <c r="C45" i="2"/>
  <c r="C48" i="2" s="1"/>
  <c r="E43" i="2"/>
  <c r="D43" i="2"/>
  <c r="C43" i="2"/>
  <c r="E42" i="2"/>
  <c r="C42" i="2"/>
  <c r="B42" i="2"/>
  <c r="D42" i="2" s="1"/>
  <c r="C41" i="2"/>
  <c r="C44" i="2" s="1"/>
  <c r="B41" i="2"/>
  <c r="B44" i="2" s="1"/>
  <c r="D44" i="2" s="1"/>
  <c r="E40" i="2"/>
  <c r="C40" i="2"/>
  <c r="D40" i="2" s="1"/>
  <c r="B39" i="2"/>
  <c r="E38" i="2"/>
  <c r="D38" i="2"/>
  <c r="C38" i="2"/>
  <c r="C37" i="2"/>
  <c r="E37" i="2" s="1"/>
  <c r="B37" i="2"/>
  <c r="D37" i="2" s="1"/>
  <c r="E36" i="2"/>
  <c r="C36" i="2"/>
  <c r="D36" i="2" s="1"/>
  <c r="B36" i="2"/>
  <c r="C35" i="2"/>
  <c r="E35" i="2" s="1"/>
  <c r="B35" i="2"/>
  <c r="D35" i="2" s="1"/>
  <c r="E34" i="2"/>
  <c r="C34" i="2"/>
  <c r="C39" i="2" s="1"/>
  <c r="E39" i="2" s="1"/>
  <c r="B34" i="2"/>
  <c r="D33" i="2"/>
  <c r="C33" i="2"/>
  <c r="E33" i="2" s="1"/>
  <c r="E32" i="2"/>
  <c r="D32" i="2"/>
  <c r="C32" i="2"/>
  <c r="E31" i="2"/>
  <c r="C31" i="2"/>
  <c r="D31" i="2" s="1"/>
  <c r="C30" i="2"/>
  <c r="E30" i="2" s="1"/>
  <c r="E29" i="2"/>
  <c r="C29" i="2"/>
  <c r="D29" i="2" s="1"/>
  <c r="B29" i="2"/>
  <c r="C28" i="2"/>
  <c r="E28" i="2" s="1"/>
  <c r="B28" i="2"/>
  <c r="D28" i="2" s="1"/>
  <c r="E27" i="2"/>
  <c r="C27" i="2"/>
  <c r="D27" i="2" s="1"/>
  <c r="B27" i="2"/>
  <c r="C26" i="2"/>
  <c r="E26" i="2" s="1"/>
  <c r="B26" i="2"/>
  <c r="D26" i="2" s="1"/>
  <c r="E25" i="2"/>
  <c r="C25" i="2"/>
  <c r="D25" i="2" s="1"/>
  <c r="B25" i="2"/>
  <c r="C24" i="2"/>
  <c r="B24" i="2"/>
  <c r="E24" i="2" s="1"/>
  <c r="E23" i="2"/>
  <c r="C23" i="2"/>
  <c r="B23" i="2"/>
  <c r="E22" i="2"/>
  <c r="D22" i="2"/>
  <c r="C22" i="2"/>
  <c r="E21" i="2"/>
  <c r="D21" i="2"/>
  <c r="C21" i="2"/>
  <c r="E20" i="2"/>
  <c r="C20" i="2"/>
  <c r="B20" i="2"/>
  <c r="D20" i="2" s="1"/>
  <c r="C16" i="2"/>
  <c r="E16" i="2" s="1"/>
  <c r="B16" i="2"/>
  <c r="C14" i="2"/>
  <c r="E14" i="2" s="1"/>
  <c r="B14" i="2"/>
  <c r="C12" i="2"/>
  <c r="E12" i="2" s="1"/>
  <c r="B12" i="2"/>
  <c r="B13" i="2" s="1"/>
  <c r="E11" i="2"/>
  <c r="C11" i="2"/>
  <c r="D11" i="2" s="1"/>
  <c r="C10" i="2"/>
  <c r="E10" i="2" s="1"/>
  <c r="E9" i="2"/>
  <c r="C9" i="2"/>
  <c r="B9" i="2"/>
  <c r="E8" i="2"/>
  <c r="D8" i="2"/>
  <c r="C8" i="2"/>
  <c r="L8" i="12" l="1"/>
  <c r="L13" i="12"/>
  <c r="L11" i="12"/>
  <c r="B55" i="1"/>
  <c r="B56" i="1" s="1"/>
  <c r="B64" i="1" s="1"/>
  <c r="C55" i="1"/>
  <c r="C56" i="1" s="1"/>
  <c r="C64" i="1" s="1"/>
  <c r="C30" i="1"/>
  <c r="C17" i="1"/>
  <c r="B17" i="1"/>
  <c r="G7" i="9"/>
  <c r="G11" i="4"/>
  <c r="G6" i="4"/>
  <c r="G7" i="4"/>
  <c r="D11" i="4"/>
  <c r="D39" i="2"/>
  <c r="B15" i="2"/>
  <c r="E44" i="2"/>
  <c r="E62" i="2"/>
  <c r="B75" i="2"/>
  <c r="C75" i="2"/>
  <c r="B56" i="2"/>
  <c r="D9" i="2"/>
  <c r="D23" i="2"/>
  <c r="D34" i="2"/>
  <c r="D45" i="2"/>
  <c r="C56" i="2"/>
  <c r="E56" i="2" s="1"/>
  <c r="D12" i="2"/>
  <c r="D14" i="2"/>
  <c r="D16" i="2"/>
  <c r="D41" i="2"/>
  <c r="B48" i="2"/>
  <c r="D48" i="2" s="1"/>
  <c r="D63" i="2"/>
  <c r="D68" i="2"/>
  <c r="D52" i="2"/>
  <c r="D10" i="2"/>
  <c r="D30" i="2"/>
  <c r="E41" i="2"/>
  <c r="E68" i="2"/>
  <c r="D24" i="2"/>
  <c r="C13" i="2"/>
  <c r="E13" i="2" s="1"/>
  <c r="E57" i="2"/>
  <c r="D69" i="2"/>
  <c r="L15" i="12" l="1"/>
  <c r="L16" i="12"/>
  <c r="D75" i="2"/>
  <c r="B79" i="2"/>
  <c r="E48" i="2"/>
  <c r="C65" i="2"/>
  <c r="E65" i="2" s="1"/>
  <c r="D56" i="2"/>
  <c r="D15" i="2"/>
  <c r="B17" i="2"/>
  <c r="E75" i="2"/>
  <c r="C79" i="2"/>
  <c r="E79" i="2" s="1"/>
  <c r="D13" i="2"/>
  <c r="B65" i="2"/>
  <c r="C15" i="2"/>
  <c r="D65" i="2" l="1"/>
  <c r="B18" i="2"/>
  <c r="C17" i="2"/>
  <c r="E15" i="2"/>
  <c r="D79" i="2"/>
  <c r="B66" i="2" l="1"/>
  <c r="C18" i="2"/>
  <c r="E17" i="2"/>
  <c r="D17" i="2"/>
  <c r="C66" i="2" l="1"/>
  <c r="E18" i="2"/>
  <c r="D18" i="2"/>
  <c r="D66" i="2"/>
  <c r="B80" i="2"/>
  <c r="C80" i="2" l="1"/>
  <c r="E80" i="2" s="1"/>
  <c r="E66" i="2"/>
  <c r="D80" i="2" l="1"/>
  <c r="M12" i="2" l="1"/>
  <c r="L12" i="2"/>
  <c r="G25" i="2" l="1"/>
  <c r="H29" i="2"/>
  <c r="G35" i="2"/>
  <c r="V13" i="6"/>
  <c r="H65" i="12"/>
  <c r="J64" i="12"/>
  <c r="I64" i="12"/>
  <c r="H64" i="12"/>
  <c r="C64" i="12"/>
  <c r="B64" i="12"/>
  <c r="G63" i="12"/>
  <c r="F63" i="12"/>
  <c r="F64" i="12" s="1"/>
  <c r="E63" i="12"/>
  <c r="E64" i="12" s="1"/>
  <c r="D63" i="12"/>
  <c r="D64" i="12" s="1"/>
  <c r="H61" i="12"/>
  <c r="J60" i="12"/>
  <c r="J61" i="12" s="1"/>
  <c r="J65" i="12" s="1"/>
  <c r="I60" i="12"/>
  <c r="I61" i="12" s="1"/>
  <c r="I65" i="12" s="1"/>
  <c r="H60" i="12"/>
  <c r="G60" i="12"/>
  <c r="K60" i="12" s="1"/>
  <c r="C60" i="12"/>
  <c r="B60" i="12"/>
  <c r="K59" i="12"/>
  <c r="F59" i="12"/>
  <c r="E59" i="12"/>
  <c r="D59" i="12"/>
  <c r="K58" i="12"/>
  <c r="F58" i="12"/>
  <c r="E58" i="12"/>
  <c r="D58" i="12"/>
  <c r="K57" i="12"/>
  <c r="F57" i="12"/>
  <c r="F60" i="12" s="1"/>
  <c r="E57" i="12"/>
  <c r="D57" i="12"/>
  <c r="K56" i="12"/>
  <c r="F56" i="12"/>
  <c r="E56" i="12"/>
  <c r="E60" i="12" s="1"/>
  <c r="D56" i="12"/>
  <c r="D60" i="12" s="1"/>
  <c r="K55" i="12"/>
  <c r="K54" i="12"/>
  <c r="F54" i="12"/>
  <c r="E54" i="12"/>
  <c r="D54" i="12"/>
  <c r="C54" i="12"/>
  <c r="C61" i="12" s="1"/>
  <c r="C65" i="12" s="1"/>
  <c r="B54" i="12"/>
  <c r="B61" i="12" s="1"/>
  <c r="K50" i="12"/>
  <c r="L50" i="12" s="1"/>
  <c r="J50" i="12"/>
  <c r="J49" i="12"/>
  <c r="I49" i="12"/>
  <c r="H49" i="12"/>
  <c r="K49" i="12" s="1"/>
  <c r="G49" i="12"/>
  <c r="F49" i="12"/>
  <c r="E49" i="12"/>
  <c r="D49" i="12"/>
  <c r="C49" i="12"/>
  <c r="L49" i="12" s="1"/>
  <c r="B49" i="12"/>
  <c r="K48" i="12"/>
  <c r="C48" i="12"/>
  <c r="L48" i="12" s="1"/>
  <c r="L47" i="12"/>
  <c r="K47" i="12"/>
  <c r="C47" i="12"/>
  <c r="L46" i="12"/>
  <c r="K46" i="12"/>
  <c r="J45" i="12"/>
  <c r="H45" i="12"/>
  <c r="G45" i="12"/>
  <c r="F45" i="12"/>
  <c r="E45" i="12"/>
  <c r="D45" i="12"/>
  <c r="B45" i="12"/>
  <c r="I44" i="12"/>
  <c r="L44" i="12" s="1"/>
  <c r="I43" i="12"/>
  <c r="I45" i="12" s="1"/>
  <c r="L42" i="12"/>
  <c r="J42" i="12"/>
  <c r="I42" i="12"/>
  <c r="I41" i="12"/>
  <c r="L41" i="12"/>
  <c r="L40" i="12"/>
  <c r="J39" i="12"/>
  <c r="H39" i="12"/>
  <c r="G39" i="12"/>
  <c r="F39" i="12"/>
  <c r="E39" i="12"/>
  <c r="D39" i="12"/>
  <c r="B39" i="12"/>
  <c r="I38" i="12"/>
  <c r="I39" i="12" s="1"/>
  <c r="C39" i="12"/>
  <c r="J37" i="12"/>
  <c r="K37" i="12" s="1"/>
  <c r="L37" i="12" s="1"/>
  <c r="L36" i="12"/>
  <c r="K36" i="12"/>
  <c r="J35" i="12"/>
  <c r="I35" i="12"/>
  <c r="H35" i="12"/>
  <c r="G35" i="12"/>
  <c r="F35" i="12"/>
  <c r="E35" i="12"/>
  <c r="D35" i="12"/>
  <c r="C35" i="12"/>
  <c r="B35" i="12"/>
  <c r="I34" i="12"/>
  <c r="L34" i="12" s="1"/>
  <c r="I33" i="12"/>
  <c r="L33" i="12"/>
  <c r="K32" i="12"/>
  <c r="L32" i="12" s="1"/>
  <c r="J31" i="12"/>
  <c r="H31" i="12"/>
  <c r="G31" i="12"/>
  <c r="F31" i="12"/>
  <c r="F51" i="12" s="1"/>
  <c r="E31" i="12"/>
  <c r="E51" i="12" s="1"/>
  <c r="D31" i="12"/>
  <c r="D51" i="12" s="1"/>
  <c r="B31" i="12"/>
  <c r="I30" i="12"/>
  <c r="L30" i="12"/>
  <c r="I29" i="12"/>
  <c r="L29" i="12" s="1"/>
  <c r="I28" i="12"/>
  <c r="L28" i="12"/>
  <c r="L27" i="12"/>
  <c r="I27" i="12"/>
  <c r="C31" i="12"/>
  <c r="L26" i="12"/>
  <c r="J25" i="12"/>
  <c r="I25" i="12"/>
  <c r="L25" i="12"/>
  <c r="L24" i="12"/>
  <c r="I24" i="12"/>
  <c r="H23" i="12"/>
  <c r="L23" i="12" s="1"/>
  <c r="I22" i="12"/>
  <c r="L22" i="12" s="1"/>
  <c r="J21" i="12"/>
  <c r="I20" i="12"/>
  <c r="L20" i="12" s="1"/>
  <c r="L19" i="12"/>
  <c r="I19" i="12"/>
  <c r="G18" i="12"/>
  <c r="L18" i="12" s="1"/>
  <c r="D52" i="12"/>
  <c r="F52" i="12"/>
  <c r="E52" i="12"/>
  <c r="C22" i="1"/>
  <c r="C23" i="1" s="1"/>
  <c r="B22" i="1"/>
  <c r="B23" i="1" s="1"/>
  <c r="C20" i="1"/>
  <c r="B20" i="1"/>
  <c r="L35" i="12" l="1"/>
  <c r="B24" i="1"/>
  <c r="B36" i="1"/>
  <c r="C36" i="1"/>
  <c r="C24" i="1"/>
  <c r="D61" i="12"/>
  <c r="D65" i="12" s="1"/>
  <c r="D66" i="12" s="1"/>
  <c r="E61" i="12"/>
  <c r="E65" i="12" s="1"/>
  <c r="J52" i="12"/>
  <c r="J66" i="12" s="1"/>
  <c r="F61" i="12"/>
  <c r="F65" i="12" s="1"/>
  <c r="F66" i="12" s="1"/>
  <c r="E66" i="12"/>
  <c r="L39" i="12"/>
  <c r="L21" i="12"/>
  <c r="L31" i="12"/>
  <c r="B65" i="12"/>
  <c r="C45" i="12"/>
  <c r="C51" i="12" s="1"/>
  <c r="C52" i="12" s="1"/>
  <c r="C66" i="12" s="1"/>
  <c r="B51" i="12"/>
  <c r="J51" i="12"/>
  <c r="L38" i="12"/>
  <c r="L43" i="12"/>
  <c r="I31" i="12"/>
  <c r="I51" i="12" s="1"/>
  <c r="I52" i="12" s="1"/>
  <c r="I66" i="12" s="1"/>
  <c r="G61" i="12"/>
  <c r="G64" i="12"/>
  <c r="G51" i="12"/>
  <c r="H51" i="12"/>
  <c r="H52" i="12" s="1"/>
  <c r="H66" i="12" s="1"/>
  <c r="L45" i="12" l="1"/>
  <c r="B43" i="1"/>
  <c r="L51" i="12"/>
  <c r="G65" i="12"/>
  <c r="K61" i="12"/>
  <c r="B52" i="12" l="1"/>
  <c r="G52" i="12"/>
  <c r="B66" i="12" l="1"/>
  <c r="L52" i="12"/>
  <c r="G66" i="12"/>
  <c r="M19" i="2" l="1"/>
  <c r="L19" i="2"/>
  <c r="L14" i="2"/>
  <c r="M13" i="2"/>
  <c r="L13" i="2"/>
  <c r="M9" i="2"/>
  <c r="L9" i="2"/>
  <c r="P15" i="6" l="1"/>
  <c r="P13" i="6"/>
  <c r="L17" i="2" l="1"/>
  <c r="P14" i="6"/>
  <c r="P12" i="6"/>
  <c r="M17" i="2" l="1"/>
  <c r="N14" i="2"/>
  <c r="N13" i="2"/>
  <c r="N12" i="2"/>
  <c r="N9" i="2" l="1"/>
  <c r="N17" i="2" s="1"/>
  <c r="G24" i="2"/>
  <c r="L21" i="2" l="1"/>
  <c r="H45" i="2"/>
  <c r="H56" i="2"/>
  <c r="H49" i="2"/>
  <c r="G34" i="2"/>
  <c r="N19" i="2" l="1"/>
  <c r="N21" i="2" s="1"/>
  <c r="M21" i="2"/>
  <c r="F37" i="2" l="1"/>
  <c r="H19" i="2" l="1"/>
  <c r="H65" i="2"/>
  <c r="H69" i="2" s="1"/>
  <c r="P23" i="6"/>
  <c r="P19" i="6"/>
  <c r="H64" i="2" l="1"/>
  <c r="G26" i="2" l="1"/>
  <c r="O15" i="6"/>
  <c r="O14" i="6"/>
  <c r="O13" i="6"/>
  <c r="O12" i="6"/>
  <c r="G36" i="2" l="1"/>
  <c r="H36" i="2" s="1"/>
  <c r="N23" i="6"/>
  <c r="I54" i="6"/>
  <c r="O19" i="6" l="1"/>
  <c r="I55" i="6"/>
  <c r="H68" i="2" l="1"/>
  <c r="H70" i="2" l="1"/>
  <c r="H72" i="2" s="1"/>
  <c r="N15" i="6"/>
  <c r="N14" i="6"/>
  <c r="N13" i="6"/>
  <c r="N12" i="6"/>
  <c r="Q23" i="5" l="1"/>
  <c r="Q20" i="5"/>
  <c r="Q16" i="5"/>
  <c r="Q11" i="5"/>
  <c r="P25" i="5"/>
  <c r="Q25" i="5" l="1"/>
  <c r="M23" i="6" l="1"/>
  <c r="AA18" i="6"/>
  <c r="M15" i="6"/>
  <c r="L15" i="6"/>
  <c r="R15" i="6" s="1"/>
  <c r="K15" i="6"/>
  <c r="J15" i="6"/>
  <c r="I15" i="6"/>
  <c r="H15" i="6"/>
  <c r="G15" i="6"/>
  <c r="F15" i="6"/>
  <c r="E15" i="6"/>
  <c r="M14" i="6"/>
  <c r="M19" i="6" s="1"/>
  <c r="L14" i="6"/>
  <c r="R14" i="6" s="1"/>
  <c r="K14" i="6"/>
  <c r="J14" i="6"/>
  <c r="I14" i="6"/>
  <c r="H14" i="6"/>
  <c r="G14" i="6"/>
  <c r="F14" i="6"/>
  <c r="E14" i="6"/>
  <c r="E19" i="6" s="1"/>
  <c r="M13" i="6"/>
  <c r="L13" i="6"/>
  <c r="R13" i="6" s="1"/>
  <c r="K13" i="6"/>
  <c r="J13" i="6"/>
  <c r="I13" i="6"/>
  <c r="H13" i="6"/>
  <c r="G13" i="6"/>
  <c r="F13" i="6"/>
  <c r="E13" i="6"/>
  <c r="M12" i="6"/>
  <c r="L12" i="6"/>
  <c r="R12" i="6" s="1"/>
  <c r="K12" i="6"/>
  <c r="J12" i="6"/>
  <c r="I12" i="6"/>
  <c r="H12" i="6"/>
  <c r="G12" i="6"/>
  <c r="F12" i="6"/>
  <c r="E12" i="6"/>
  <c r="E11" i="6"/>
  <c r="R11" i="6" s="1"/>
  <c r="K19" i="6" l="1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R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l="1"/>
  <c r="Q11" i="6"/>
  <c r="Q17" i="6" s="1"/>
</calcChain>
</file>

<file path=xl/sharedStrings.xml><?xml version="1.0" encoding="utf-8"?>
<sst xmlns="http://schemas.openxmlformats.org/spreadsheetml/2006/main" count="348" uniqueCount="251">
  <si>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</si>
  <si>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</si>
  <si>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</si>
  <si>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</si>
  <si>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</si>
  <si>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</si>
  <si>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</si>
  <si>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</si>
  <si>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</si>
  <si>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</si>
  <si>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</si>
  <si>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</si>
  <si>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</si>
  <si>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</si>
  <si>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</si>
  <si>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</si>
  <si>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</si>
  <si>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</si>
  <si>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</si>
  <si>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</si>
  <si>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</si>
  <si>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</si>
  <si>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</si>
  <si>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</si>
  <si>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</si>
  <si>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</si>
  <si>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</si>
  <si>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</si>
  <si>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</si>
  <si>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</si>
  <si>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</si>
  <si>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</si>
  <si>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</si>
  <si>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</si>
  <si>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</si>
  <si>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</si>
  <si>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</si>
  <si>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</si>
  <si>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</si>
  <si>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</si>
  <si>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</si>
  <si>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</si>
  <si>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</si>
  <si>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</si>
  <si>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</si>
  <si>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</si>
  <si>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</si>
  <si>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</si>
  <si>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</si>
  <si>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</si>
  <si>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</si>
  <si>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</si>
  <si>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</si>
  <si>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</si>
  <si>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</si>
  <si>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</si>
  <si>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</si>
  <si>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</si>
  <si>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</si>
  <si>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</si>
  <si>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</si>
  <si>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</si>
  <si>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</si>
  <si>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</si>
  <si>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</si>
  <si>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</si>
  <si>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</si>
  <si>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</si>
  <si>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</si>
  <si>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</si>
  <si>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</si>
  <si>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</si>
  <si>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</si>
  <si>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</si>
  <si>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</si>
  <si>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</si>
  <si>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</si>
  <si>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</si>
  <si>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</si>
  <si>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</si>
  <si>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</si>
  <si>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</si>
  <si>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</si>
  <si>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</si>
  <si>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</si>
  <si>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</si>
  <si>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</si>
  <si>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</si>
  <si>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</si>
  <si>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</si>
  <si>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</si>
  <si>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</si>
  <si>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</si>
  <si>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</si>
  <si>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</si>
  <si>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</si>
  <si>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</si>
  <si>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</si>
  <si>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</si>
  <si>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</si>
  <si>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</si>
  <si>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</si>
  <si>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</si>
  <si>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</si>
  <si>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</si>
  <si>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</si>
  <si>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</si>
  <si>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</si>
  <si>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</si>
  <si>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</si>
  <si>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</si>
  <si>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</si>
  <si>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</si>
  <si>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</si>
  <si>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</si>
  <si>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</si>
  <si>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</si>
  <si>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</si>
  <si>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</si>
  <si>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</si>
  <si>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</si>
  <si>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</si>
  <si>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</si>
  <si>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</si>
  <si>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</si>
  <si>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</si>
  <si>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</si>
  <si>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</si>
  <si>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</si>
  <si>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</si>
  <si>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</si>
  <si>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</si>
  <si>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</si>
  <si>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</si>
  <si>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</si>
  <si>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</si>
  <si>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</si>
  <si>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</si>
  <si>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</si>
  <si>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</si>
  <si>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</si>
  <si>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</si>
  <si>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</si>
  <si>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</si>
  <si>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</si>
  <si>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</si>
  <si>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</si>
  <si>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</si>
  <si>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</si>
  <si>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</si>
  <si>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</si>
  <si>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</si>
  <si>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</si>
  <si>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</si>
  <si>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</si>
  <si>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</si>
  <si>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</si>
  <si>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</si>
  <si>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</si>
  <si>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</si>
  <si>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</si>
  <si>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</si>
  <si>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</si>
  <si>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</si>
  <si>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</si>
  <si>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</si>
  <si>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</si>
  <si>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</si>
  <si>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</si>
  <si>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</si>
  <si>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</si>
  <si>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</si>
  <si>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</si>
  <si>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</si>
  <si>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</si>
  <si>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</si>
  <si>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</si>
  <si>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</si>
  <si>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</si>
  <si>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</si>
  <si>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</si>
  <si>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</si>
  <si>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</si>
  <si>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</si>
  <si>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</si>
  <si>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</si>
  <si>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</si>
  <si>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</si>
  <si>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</si>
  <si>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</si>
  <si>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</si>
  <si>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</si>
  <si>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</si>
  <si>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</si>
  <si>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Mgmt &amp; Gen.</t>
  </si>
  <si>
    <t>Prog. Svs. Exp.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</si>
  <si>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</si>
  <si>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</si>
  <si>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</si>
  <si>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</si>
  <si>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</si>
  <si>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</si>
  <si>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</si>
  <si>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</si>
  <si>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</si>
  <si>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</si>
  <si>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</si>
  <si>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</si>
  <si>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</si>
  <si>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payroll</t>
  </si>
  <si>
    <t>Custodial</t>
  </si>
  <si>
    <t>Revenue ahead</t>
  </si>
  <si>
    <t>Fiduciary Technology Partners, LLC</t>
  </si>
  <si>
    <t xml:space="preserve">   60004 JCC/Ewing Property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</si>
  <si>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</si>
  <si>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</si>
  <si>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</si>
  <si>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</si>
  <si>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</si>
  <si>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</si>
  <si>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</si>
  <si>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</si>
  <si>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more expense than budget</t>
  </si>
  <si>
    <t xml:space="preserve">      43420 Fundraising Events Income</t>
  </si>
  <si>
    <t xml:space="preserve">   60005 Fundraising Events Expenses</t>
  </si>
  <si>
    <t xml:space="preserve">   Depreciation Expense</t>
  </si>
  <si>
    <t>Saturday, Aug 10, 2024 12:22:30 PM GMT-7 - Accrual Basis</t>
  </si>
  <si>
    <t>Fundraising Events Inc</t>
  </si>
  <si>
    <t>Fiscal 2025</t>
  </si>
  <si>
    <t>FY 2013 - FY 2025</t>
  </si>
  <si>
    <t xml:space="preserve">      60905 Payroll Clearing Acct</t>
  </si>
  <si>
    <t>Statement of Activity by Class</t>
  </si>
  <si>
    <t>As of September 30, 2024</t>
  </si>
  <si>
    <t>Anniversary Event</t>
  </si>
  <si>
    <t>Total Unrestricted Funds</t>
  </si>
  <si>
    <t>Saturday, Nov 23, 2024 02:49:49 PM GMT-8 - Accrual Basis</t>
  </si>
  <si>
    <t>more revenue than budget</t>
  </si>
  <si>
    <t>Expense greater than budget</t>
  </si>
  <si>
    <t>Asset Summary as of December 31, 2024</t>
  </si>
  <si>
    <t>12.31.2024</t>
  </si>
  <si>
    <t>As of December 31, 2024</t>
  </si>
  <si>
    <t>7/1/2024 - 12/31/2024</t>
  </si>
  <si>
    <t>July - December, 2024</t>
  </si>
  <si>
    <t>BKC, CPAs</t>
  </si>
  <si>
    <t>Justine Reuben Luque</t>
  </si>
  <si>
    <t>Travelers Insurance</t>
  </si>
  <si>
    <t>Friday, Jan 24, 2025 06:11:39 AM GMT-8</t>
  </si>
  <si>
    <t>Friday, Jan 24, 2025 06:11:09 AM GMT-8</t>
  </si>
  <si>
    <t xml:space="preserve">      Accumulated Depreciation</t>
  </si>
  <si>
    <t>Friday, Jan 24, 2025 06:03:45 AM GMT-8 - Accrual Basis</t>
  </si>
  <si>
    <t>July 1, 2024 -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</si>
</sst>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rgb="FF333333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43" fontId="26" fillId="0" borderId="1" xfId="1" applyFont="1" applyBorder="1" applyAlignment="1">
      <alignment horizontal="center" wrapText="1"/>
    </xf>
    <xf numFmtId="167" fontId="3" fillId="0" borderId="0" xfId="1" applyNumberFormat="1" applyFont="1" applyBorder="1" applyAlignment="1">
      <alignment horizontal="right" wrapText="1"/>
    </xf>
    <xf numFmtId="43" fontId="12" fillId="0" borderId="0" xfId="1" quotePrefix="1" applyFont="1"/>
    <xf numFmtId="0" fontId="24" fillId="0" borderId="0" xfId="0" applyFont="1"/>
    <xf numFmtId="43" fontId="19" fillId="0" borderId="1" xfId="1" applyFont="1" applyBorder="1"/>
    <xf numFmtId="0" fontId="27" fillId="0" borderId="0" xfId="0" applyFont="1" applyAlignment="1">
      <alignment horizontal="left" vertical="center" wrapText="1" indent="2"/>
    </xf>
    <xf numFmtId="43" fontId="26" fillId="0" borderId="0" xfId="1" applyFont="1" applyBorder="1" applyAlignment="1">
      <alignment horizontal="center" wrapText="1"/>
    </xf>
    <xf numFmtId="164" fontId="29" fillId="0" borderId="0" xfId="0" applyNumberFormat="1" applyFont="1" applyAlignment="1">
      <alignment wrapText="1"/>
    </xf>
    <xf numFmtId="164" fontId="29" fillId="0" borderId="0" xfId="0" applyNumberFormat="1" applyFont="1" applyAlignment="1">
      <alignment horizontal="right" wrapText="1"/>
    </xf>
    <xf numFmtId="165" fontId="28" fillId="0" borderId="2" xfId="0" applyNumberFormat="1" applyFont="1" applyBorder="1" applyAlignment="1">
      <alignment horizontal="right" wrapText="1"/>
    </xf>
    <xf numFmtId="0" fontId="22" fillId="0" borderId="0" xfId="0" applyFont="1" applyAlignment="1">
      <alignment horizontal="center"/>
    </xf>
    <xf numFmtId="0" fontId="22" fillId="0" borderId="1" xfId="0" applyFont="1" applyBorder="1"/>
    <xf numFmtId="167" fontId="25" fillId="0" borderId="0" xfId="1" applyNumberFormat="1" applyFont="1" applyAlignment="1">
      <alignment horizontal="right" wrapText="1"/>
    </xf>
    <xf numFmtId="167" fontId="22" fillId="0" borderId="0" xfId="1" applyNumberFormat="1" applyFont="1"/>
    <xf numFmtId="167" fontId="25" fillId="0" borderId="1" xfId="1" applyNumberFormat="1" applyFont="1" applyBorder="1" applyAlignment="1">
      <alignment horizontal="right" wrapText="1"/>
    </xf>
    <xf numFmtId="167" fontId="25" fillId="0" borderId="3" xfId="1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43" fontId="13" fillId="0" borderId="0" xfId="1" applyFont="1"/>
    <xf numFmtId="0" fontId="28" fillId="0" borderId="0" xfId="0" applyFont="1" applyAlignment="1">
      <alignment horizontal="left" wrapText="1"/>
    </xf>
    <xf numFmtId="43" fontId="15" fillId="0" borderId="0" xfId="1" applyFont="1"/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7" fontId="27" fillId="0" borderId="0" xfId="1" applyNumberFormat="1" applyFont="1" applyAlignment="1">
      <alignment horizontal="left" vertical="center" wrapText="1" indent="2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AA55"/>
  <sheetViews>
    <sheetView topLeftCell="B6" zoomScaleNormal="100" workbookViewId="0">
      <pane xSplit="3" ySplit="4" topLeftCell="N14" activePane="bottomRight" state="frozen"/>
      <selection activeCell="B6" sqref="B6"/>
      <selection pane="topRight" activeCell="E6" sqref="E6"/>
      <selection pane="bottomLeft" activeCell="B10" sqref="B10"/>
      <selection pane="bottomRight" activeCell="U11" sqref="U11"/>
    </sheetView>
  </sheetViews>
  <sheetFormatPr defaultColWidth="9.140625" defaultRowHeight="15" x14ac:dyDescent="0.25"/>
  <cols>
    <col min="1" max="1" width="3.5703125" style="21" hidden="1" customWidth="1"/>
    <col min="2" max="2" width="25.7109375" style="21" customWidth="1"/>
    <col min="3" max="3" width="14.85546875" style="21" customWidth="1"/>
    <col min="4" max="4" width="19.42578125" style="21" customWidth="1"/>
    <col min="5" max="5" width="12.5703125" style="21" customWidth="1"/>
    <col min="6" max="6" width="11.28515625" style="21" customWidth="1"/>
    <col min="7" max="7" width="13.28515625" style="21" customWidth="1"/>
    <col min="8" max="8" width="12" style="21" customWidth="1"/>
    <col min="9" max="9" width="10.5703125" style="21" customWidth="1"/>
    <col min="10" max="10" width="13.85546875" style="21" customWidth="1"/>
    <col min="11" max="16" width="11.28515625" style="21" customWidth="1"/>
    <col min="17" max="17" width="9.42578125" style="21" customWidth="1"/>
    <col min="18" max="18" width="10.42578125" style="21" customWidth="1"/>
    <col min="19" max="19" width="1.28515625" style="21" customWidth="1"/>
    <col min="20" max="20" width="1.42578125" style="21" customWidth="1"/>
    <col min="21" max="25" width="15.7109375" style="21" customWidth="1"/>
    <col min="26" max="26" width="21.7109375" style="21" bestFit="1" customWidth="1"/>
    <col min="27" max="27" width="19.42578125" style="21" bestFit="1" customWidth="1"/>
    <col min="28" max="16384" width="9.140625" style="21"/>
  </cols>
  <sheetData>
    <row r="1" spans="1:27" s="34" customFormat="1" ht="26.25" customHeight="1" x14ac:dyDescent="0.2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27" s="34" customFormat="1" ht="26.25" customHeight="1" x14ac:dyDescent="0.2">
      <c r="A2" s="114" t="s">
        <v>131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27" s="34" customFormat="1" ht="26.25" x14ac:dyDescent="0.4">
      <c r="A3" s="115" t="s">
        <v>142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7" s="34" customFormat="1" ht="26.25" x14ac:dyDescent="0.4">
      <c r="A4" s="115" t="s">
        <v>143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7" s="34" customFormat="1" ht="26.25" x14ac:dyDescent="0.2">
      <c r="A5" s="116" t="s">
        <v>132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</row>
    <row r="6" spans="1:27" s="34" customFormat="1" ht="27.75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21"/>
      <c r="K6" s="21"/>
      <c r="L6" s="21"/>
      <c r="M6" s="21"/>
      <c r="N6" s="21"/>
      <c r="O6" s="21"/>
      <c r="P6" s="21"/>
      <c r="Q6" s="21"/>
      <c r="R6" s="21"/>
    </row>
    <row r="7" spans="1:27" s="34" customFormat="1" x14ac:dyDescent="0.25">
      <c r="A7" s="21"/>
      <c r="B7" s="21"/>
      <c r="C7" s="21"/>
      <c r="D7" s="21"/>
      <c r="H7" s="36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7" s="34" customFormat="1" ht="45" customHeight="1" x14ac:dyDescent="0.25">
      <c r="A8" s="21"/>
      <c r="B8" s="21"/>
      <c r="C8" s="21"/>
      <c r="D8" s="21"/>
      <c r="E8" s="37" t="s">
        <v>144</v>
      </c>
      <c r="F8" s="37" t="s">
        <v>145</v>
      </c>
      <c r="G8" s="37" t="s">
        <v>146</v>
      </c>
      <c r="H8" s="37" t="s">
        <v>147</v>
      </c>
      <c r="I8" s="37" t="s">
        <v>148</v>
      </c>
      <c r="J8" s="37" t="s">
        <v>149</v>
      </c>
      <c r="K8" s="37" t="s">
        <v>150</v>
      </c>
      <c r="L8" s="37" t="s">
        <v>151</v>
      </c>
      <c r="M8" s="37" t="s">
        <v>152</v>
      </c>
      <c r="N8" s="37" t="s">
        <v>175</v>
      </c>
      <c r="O8" s="37" t="s">
        <v>182</v>
      </c>
      <c r="P8" s="37" t="s">
        <v>208</v>
      </c>
      <c r="Q8" s="37" t="s">
        <v>228</v>
      </c>
      <c r="R8" s="38" t="s">
        <v>229</v>
      </c>
      <c r="S8" s="39"/>
    </row>
    <row r="9" spans="1:27" s="34" customFormat="1" ht="23.25" x14ac:dyDescent="0.35">
      <c r="A9" s="21"/>
      <c r="B9" s="40" t="s">
        <v>153</v>
      </c>
      <c r="C9" s="21"/>
      <c r="D9" s="21"/>
      <c r="E9" s="41"/>
      <c r="F9" s="41"/>
      <c r="G9" s="41"/>
      <c r="H9" s="41"/>
      <c r="I9" s="41"/>
      <c r="J9" s="41"/>
      <c r="K9" s="41"/>
      <c r="L9" s="41"/>
      <c r="M9" s="21"/>
      <c r="N9" s="21"/>
      <c r="O9" s="21"/>
      <c r="P9" s="21"/>
      <c r="Q9" s="21"/>
      <c r="R9" s="42"/>
      <c r="S9" s="43"/>
    </row>
    <row r="10" spans="1:27" s="34" customFormat="1" x14ac:dyDescent="0.25">
      <c r="A10" s="21"/>
      <c r="B10" s="21"/>
      <c r="C10" s="21"/>
      <c r="D10" s="21"/>
      <c r="E10" s="44"/>
      <c r="F10" s="41"/>
      <c r="G10" s="41"/>
      <c r="H10" s="41"/>
      <c r="I10" s="41"/>
      <c r="J10" s="41"/>
      <c r="K10" s="41"/>
      <c r="L10" s="41"/>
      <c r="M10" s="45"/>
      <c r="N10" s="45"/>
      <c r="O10" s="45"/>
      <c r="P10" s="45"/>
      <c r="Q10" s="45"/>
      <c r="R10" s="46"/>
      <c r="S10" s="43"/>
      <c r="W10" s="113"/>
    </row>
    <row r="11" spans="1:27" s="34" customFormat="1" ht="18" customHeight="1" x14ac:dyDescent="0.3">
      <c r="B11" s="47" t="s">
        <v>154</v>
      </c>
      <c r="D11" s="48"/>
      <c r="E11" s="49">
        <f>+C47/10^6</f>
        <v>6.7799264599999995</v>
      </c>
      <c r="F11" s="49">
        <f t="shared" ref="F11:L11" si="0">+E17</f>
        <v>7.355995029999999</v>
      </c>
      <c r="G11" s="49">
        <f t="shared" si="0"/>
        <v>8.8975125699999982</v>
      </c>
      <c r="H11" s="49">
        <f t="shared" si="0"/>
        <v>8.4806887299999989</v>
      </c>
      <c r="I11" s="49">
        <f t="shared" si="0"/>
        <v>8.3226854699999997</v>
      </c>
      <c r="J11" s="49">
        <f t="shared" si="0"/>
        <v>10.52460597</v>
      </c>
      <c r="K11" s="49">
        <f t="shared" si="0"/>
        <v>10.89581907</v>
      </c>
      <c r="L11" s="49">
        <f t="shared" si="0"/>
        <v>10.945213580000001</v>
      </c>
      <c r="M11" s="49">
        <f>+L17</f>
        <v>10.479769140000002</v>
      </c>
      <c r="N11" s="49">
        <f>+M17</f>
        <v>14.680762140000001</v>
      </c>
      <c r="O11" s="49">
        <f>+N17</f>
        <v>12.921371140000002</v>
      </c>
      <c r="P11" s="49">
        <f>+O17</f>
        <v>14.721237140000001</v>
      </c>
      <c r="Q11" s="49">
        <f>+P17</f>
        <v>18.057119140000005</v>
      </c>
      <c r="R11" s="50">
        <f>+E11</f>
        <v>6.7799264599999995</v>
      </c>
      <c r="S11" s="43"/>
      <c r="U11" s="56"/>
      <c r="W11" s="56"/>
    </row>
    <row r="12" spans="1:27" s="34" customFormat="1" ht="18" customHeight="1" x14ac:dyDescent="0.3">
      <c r="B12" s="47" t="s">
        <v>155</v>
      </c>
      <c r="D12" s="48"/>
      <c r="E12" s="49">
        <f>+C48/10^6</f>
        <v>0.83821375999999992</v>
      </c>
      <c r="F12" s="49">
        <f t="shared" ref="F12:K15" si="1">+D48/10^6</f>
        <v>1.1313998599999999</v>
      </c>
      <c r="G12" s="49">
        <f t="shared" si="1"/>
        <v>0.65697110000000014</v>
      </c>
      <c r="H12" s="49">
        <f t="shared" si="1"/>
        <v>1.3064777299999999</v>
      </c>
      <c r="I12" s="49">
        <f t="shared" si="1"/>
        <v>2.0766917600000001</v>
      </c>
      <c r="J12" s="49">
        <f t="shared" si="1"/>
        <v>1.0590322000000001</v>
      </c>
      <c r="K12" s="49">
        <f t="shared" si="1"/>
        <v>1.23016897</v>
      </c>
      <c r="L12" s="49">
        <f>+'[1]Summary of Activities Report'!$E$46/10^6</f>
        <v>0.96984260999999983</v>
      </c>
      <c r="M12" s="49">
        <f>3008866/10^6</f>
        <v>3.0088659999999998</v>
      </c>
      <c r="N12" s="49">
        <f>2573997/10^6</f>
        <v>2.5739969999999999</v>
      </c>
      <c r="O12" s="49">
        <f>1521238/10^6</f>
        <v>1.5212380000000001</v>
      </c>
      <c r="P12" s="49">
        <f>3172586/10^6</f>
        <v>3.1725859999999999</v>
      </c>
      <c r="Q12" s="49">
        <v>1.5083420000000001</v>
      </c>
      <c r="R12" s="50">
        <f>SUM(E12:Q12)</f>
        <v>21.053826989999997</v>
      </c>
      <c r="S12" s="43"/>
      <c r="U12" s="56">
        <v>1508340.27</v>
      </c>
    </row>
    <row r="13" spans="1:27" s="34" customFormat="1" ht="18" customHeight="1" x14ac:dyDescent="0.3">
      <c r="B13" s="47" t="s">
        <v>156</v>
      </c>
      <c r="D13" s="48"/>
      <c r="E13" s="49">
        <f>+C49/10^6</f>
        <v>-0.94829133999999993</v>
      </c>
      <c r="F13" s="49">
        <f t="shared" si="1"/>
        <v>-0.81162242999999989</v>
      </c>
      <c r="G13" s="49">
        <f t="shared" si="1"/>
        <v>-1.09932192</v>
      </c>
      <c r="H13" s="49">
        <f t="shared" si="1"/>
        <v>-1.27069422</v>
      </c>
      <c r="I13" s="49">
        <f t="shared" si="1"/>
        <v>-0.94343860000000002</v>
      </c>
      <c r="J13" s="49">
        <f t="shared" si="1"/>
        <v>-1.4037089900000002</v>
      </c>
      <c r="K13" s="49">
        <f t="shared" si="1"/>
        <v>-1.5125359199999999</v>
      </c>
      <c r="L13" s="49">
        <f>+'[1]Summary of Activities Report'!$F$46/10^6</f>
        <v>-1.3504425</v>
      </c>
      <c r="M13" s="49">
        <f>-1406567/10^6</f>
        <v>-1.4065669999999999</v>
      </c>
      <c r="N13" s="49">
        <f>-1616209/10^6</f>
        <v>-1.616209</v>
      </c>
      <c r="O13" s="49">
        <f>-1578257/10^6</f>
        <v>-1.578257</v>
      </c>
      <c r="P13" s="49">
        <f>-1753140/10^6</f>
        <v>-1.7531399999999999</v>
      </c>
      <c r="Q13" s="49">
        <v>-1.3570310000000001</v>
      </c>
      <c r="R13" s="50">
        <f>SUM(E13:Q13)</f>
        <v>-17.05125992</v>
      </c>
      <c r="S13" s="43"/>
      <c r="U13" s="56">
        <v>-1357030.57</v>
      </c>
      <c r="V13" s="63">
        <f>+U13+U12</f>
        <v>151309.69999999995</v>
      </c>
      <c r="Z13" s="34" t="s">
        <v>157</v>
      </c>
    </row>
    <row r="14" spans="1:27" s="34" customFormat="1" ht="18" customHeight="1" x14ac:dyDescent="0.3">
      <c r="B14" s="47" t="s">
        <v>158</v>
      </c>
      <c r="D14" s="48"/>
      <c r="E14" s="49">
        <f>+C50/10^6</f>
        <v>0.75534582000000006</v>
      </c>
      <c r="F14" s="49">
        <f t="shared" si="1"/>
        <v>1.3001116499999998</v>
      </c>
      <c r="G14" s="49">
        <f t="shared" si="1"/>
        <v>0.11003288000000006</v>
      </c>
      <c r="H14" s="49">
        <f t="shared" si="1"/>
        <v>-0.11325913000000001</v>
      </c>
      <c r="I14" s="49">
        <f t="shared" si="1"/>
        <v>1.1585334100000002</v>
      </c>
      <c r="J14" s="49">
        <f t="shared" si="1"/>
        <v>0.82240797000000032</v>
      </c>
      <c r="K14" s="49">
        <f t="shared" si="1"/>
        <v>0.43931713000000006</v>
      </c>
      <c r="L14" s="49">
        <f>+'[1]Summary of Activities Report'!$G$47/10^6</f>
        <v>4.5046309999999999E-2</v>
      </c>
      <c r="M14" s="49">
        <f>(2715821)/10^6</f>
        <v>2.715821</v>
      </c>
      <c r="N14" s="49">
        <f>+(332282-2898796)/10^6</f>
        <v>-2.5665140000000002</v>
      </c>
      <c r="O14" s="49">
        <f>+(324406+1666535)/10^6</f>
        <v>1.9909410000000001</v>
      </c>
      <c r="P14" s="49">
        <f>2071824/10^6</f>
        <v>2.0718239999999999</v>
      </c>
      <c r="Q14" s="49">
        <v>0.668265</v>
      </c>
      <c r="R14" s="50">
        <f>SUM(E14:Q14)</f>
        <v>9.3978730400000003</v>
      </c>
      <c r="S14" s="43"/>
      <c r="U14" s="56">
        <v>668265.40000000014</v>
      </c>
    </row>
    <row r="15" spans="1:27" s="34" customFormat="1" ht="18" customHeight="1" x14ac:dyDescent="0.3">
      <c r="B15" s="47" t="s">
        <v>159</v>
      </c>
      <c r="D15" s="48"/>
      <c r="E15" s="51">
        <f>+C51/10^6</f>
        <v>-6.9199670000000019E-2</v>
      </c>
      <c r="F15" s="51">
        <f t="shared" si="1"/>
        <v>-7.8371540000000031E-2</v>
      </c>
      <c r="G15" s="51">
        <f t="shared" si="1"/>
        <v>-8.4505899999999995E-2</v>
      </c>
      <c r="H15" s="51">
        <f t="shared" si="1"/>
        <v>-8.0527640000000011E-2</v>
      </c>
      <c r="I15" s="51">
        <f t="shared" si="1"/>
        <v>-8.9866070000000034E-2</v>
      </c>
      <c r="J15" s="51">
        <f t="shared" si="1"/>
        <v>-0.10651808000000003</v>
      </c>
      <c r="K15" s="51">
        <f t="shared" si="1"/>
        <v>-0.10755566999999999</v>
      </c>
      <c r="L15" s="51">
        <f>+'[1]Summary of Activities Report'!$H$46/10^6</f>
        <v>-0.12989086</v>
      </c>
      <c r="M15" s="52">
        <f>-117127/10^6</f>
        <v>-0.117127</v>
      </c>
      <c r="N15" s="51">
        <f>-150665/10^6</f>
        <v>-0.15066499999999999</v>
      </c>
      <c r="O15" s="51">
        <f>-134056/10^6</f>
        <v>-0.13405600000000001</v>
      </c>
      <c r="P15" s="51">
        <f>-155388/10^6</f>
        <v>-0.155388</v>
      </c>
      <c r="Q15" s="98">
        <v>-9.0916999999999998E-2</v>
      </c>
      <c r="R15" s="84">
        <f>SUM(E15:Q15)</f>
        <v>-1.3945884300000002</v>
      </c>
      <c r="S15" s="53"/>
      <c r="U15" s="56">
        <v>-90916.82</v>
      </c>
      <c r="AA15" s="54">
        <v>-1242047.3999999999</v>
      </c>
    </row>
    <row r="16" spans="1:27" s="34" customFormat="1" ht="18" customHeight="1" x14ac:dyDescent="0.3">
      <c r="B16" s="47"/>
      <c r="D16" s="48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0"/>
      <c r="S16" s="43"/>
      <c r="Y16" s="34" t="s">
        <v>70</v>
      </c>
      <c r="Z16" s="56">
        <v>1638838.98</v>
      </c>
    </row>
    <row r="17" spans="1:27" s="34" customFormat="1" ht="19.5" thickBot="1" x14ac:dyDescent="0.35">
      <c r="B17" s="47" t="s">
        <v>160</v>
      </c>
      <c r="D17" s="48"/>
      <c r="E17" s="57">
        <f t="shared" ref="E17:N17" si="2">SUM(E11:E15)</f>
        <v>7.355995029999999</v>
      </c>
      <c r="F17" s="57">
        <f t="shared" si="2"/>
        <v>8.8975125699999982</v>
      </c>
      <c r="G17" s="57">
        <f t="shared" si="2"/>
        <v>8.4806887299999989</v>
      </c>
      <c r="H17" s="57">
        <f t="shared" si="2"/>
        <v>8.3226854699999997</v>
      </c>
      <c r="I17" s="57">
        <f t="shared" si="2"/>
        <v>10.52460597</v>
      </c>
      <c r="J17" s="57">
        <f t="shared" si="2"/>
        <v>10.89581907</v>
      </c>
      <c r="K17" s="57">
        <f t="shared" si="2"/>
        <v>10.945213580000001</v>
      </c>
      <c r="L17" s="57">
        <f t="shared" si="2"/>
        <v>10.479769140000002</v>
      </c>
      <c r="M17" s="57">
        <f t="shared" si="2"/>
        <v>14.680762140000001</v>
      </c>
      <c r="N17" s="57">
        <f t="shared" si="2"/>
        <v>12.921371140000002</v>
      </c>
      <c r="O17" s="57">
        <f t="shared" ref="O17:P17" si="3">SUM(O11:O15)</f>
        <v>14.721237140000001</v>
      </c>
      <c r="P17" s="57">
        <f t="shared" si="3"/>
        <v>18.057119140000005</v>
      </c>
      <c r="Q17" s="57">
        <f>+Q11+Q12+Q13+Q14+Q15</f>
        <v>18.785778140000005</v>
      </c>
      <c r="R17" s="58">
        <f>SUM(R11:R15)</f>
        <v>18.785778139999998</v>
      </c>
      <c r="S17" s="59"/>
      <c r="Y17" s="34" t="s">
        <v>69</v>
      </c>
      <c r="Z17" s="56"/>
    </row>
    <row r="18" spans="1:27" s="34" customFormat="1" ht="12.75" customHeight="1" thickTop="1" x14ac:dyDescent="0.3">
      <c r="A18" s="48"/>
      <c r="B18" s="48"/>
      <c r="D18" s="48"/>
      <c r="F18" s="21"/>
      <c r="G18" s="21"/>
      <c r="H18" s="21"/>
      <c r="I18" s="49"/>
      <c r="J18" s="21"/>
      <c r="K18" s="60"/>
      <c r="L18" s="60"/>
      <c r="M18" s="21"/>
      <c r="N18" s="21"/>
      <c r="O18" s="21"/>
      <c r="P18" s="21"/>
      <c r="Q18" s="21"/>
      <c r="R18" s="61"/>
      <c r="S18" s="53"/>
      <c r="Y18" s="62" t="s">
        <v>68</v>
      </c>
      <c r="Z18" s="56">
        <v>297559.17</v>
      </c>
      <c r="AA18" s="63">
        <f>+Z18+Z20</f>
        <v>2009430.2699999998</v>
      </c>
    </row>
    <row r="19" spans="1:27" s="34" customFormat="1" ht="18.75" x14ac:dyDescent="0.3">
      <c r="B19" s="6"/>
      <c r="D19" s="21"/>
      <c r="E19" s="49">
        <f>+E14+E15</f>
        <v>0.68614615000000001</v>
      </c>
      <c r="F19" s="49">
        <f t="shared" ref="F19:M19" si="4">+F14+F15</f>
        <v>1.2217401099999998</v>
      </c>
      <c r="G19" s="49">
        <f t="shared" si="4"/>
        <v>2.552698000000006E-2</v>
      </c>
      <c r="H19" s="49">
        <f t="shared" si="4"/>
        <v>-0.19378677000000002</v>
      </c>
      <c r="I19" s="49">
        <f t="shared" si="4"/>
        <v>1.0686673400000002</v>
      </c>
      <c r="J19" s="49">
        <f t="shared" si="4"/>
        <v>0.71588989000000025</v>
      </c>
      <c r="K19" s="49">
        <f t="shared" si="4"/>
        <v>0.33176146000000006</v>
      </c>
      <c r="L19" s="49">
        <f t="shared" si="4"/>
        <v>-8.4844549999999991E-2</v>
      </c>
      <c r="M19" s="49">
        <f t="shared" si="4"/>
        <v>2.5986940000000001</v>
      </c>
      <c r="N19" s="49">
        <f t="shared" ref="N19:O19" si="5">+N14+N15</f>
        <v>-2.7171790000000002</v>
      </c>
      <c r="O19" s="49">
        <f t="shared" si="5"/>
        <v>1.8568850000000001</v>
      </c>
      <c r="P19" s="49">
        <f t="shared" ref="P19" si="6">+P14+P15</f>
        <v>1.9164359999999998</v>
      </c>
      <c r="Q19" s="49"/>
      <c r="R19" s="49"/>
      <c r="Y19" s="62" t="s">
        <v>161</v>
      </c>
      <c r="Z19" s="56">
        <v>-75</v>
      </c>
    </row>
    <row r="20" spans="1:27" s="34" customFormat="1" ht="18.75" x14ac:dyDescent="0.3">
      <c r="B20" s="6"/>
      <c r="D20" s="21"/>
      <c r="E20" s="64">
        <f>+E19/E17</f>
        <v>9.3277136159239646E-2</v>
      </c>
      <c r="F20" s="64">
        <f t="shared" ref="F20:M20" si="7">+F19/F17</f>
        <v>0.13731254666831003</v>
      </c>
      <c r="G20" s="64">
        <f t="shared" si="7"/>
        <v>3.0100126077849888E-3</v>
      </c>
      <c r="H20" s="64">
        <f t="shared" si="7"/>
        <v>-2.3284163591009769E-2</v>
      </c>
      <c r="I20" s="64">
        <f t="shared" si="7"/>
        <v>0.10153989071383736</v>
      </c>
      <c r="J20" s="64">
        <f t="shared" si="7"/>
        <v>6.5703173428337799E-2</v>
      </c>
      <c r="K20" s="64">
        <f t="shared" si="7"/>
        <v>3.0311099694410901E-2</v>
      </c>
      <c r="L20" s="64">
        <f t="shared" si="7"/>
        <v>-8.0960323521019825E-3</v>
      </c>
      <c r="M20" s="64">
        <f t="shared" si="7"/>
        <v>0.17701356204930652</v>
      </c>
      <c r="N20" s="64">
        <f t="shared" ref="N20:O20" si="8">+N19/N17</f>
        <v>-0.21028565548965417</v>
      </c>
      <c r="O20" s="64">
        <f t="shared" si="8"/>
        <v>0.12613647768464656</v>
      </c>
      <c r="P20" s="64">
        <f t="shared" ref="P20" si="9">+P19/P17</f>
        <v>0.10613187990517957</v>
      </c>
      <c r="Q20" s="64"/>
      <c r="R20" s="64"/>
      <c r="Y20" s="34" t="s">
        <v>67</v>
      </c>
      <c r="Z20" s="56">
        <v>1711871.0999999999</v>
      </c>
    </row>
    <row r="21" spans="1:27" s="34" customFormat="1" ht="18.75" customHeight="1" x14ac:dyDescent="0.25">
      <c r="A21" s="21"/>
      <c r="B21" s="65" t="s">
        <v>162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Y21" s="34" t="s">
        <v>66</v>
      </c>
      <c r="Z21" s="56">
        <v>-85190.720000000001</v>
      </c>
    </row>
    <row r="22" spans="1:27" ht="18.75" x14ac:dyDescent="0.3">
      <c r="A22" s="66"/>
      <c r="B22" s="67"/>
      <c r="Y22" s="21" t="s">
        <v>64</v>
      </c>
      <c r="Z22" s="54"/>
    </row>
    <row r="23" spans="1:27" ht="24" thickBot="1" x14ac:dyDescent="0.4">
      <c r="A23" s="66"/>
      <c r="B23" s="40" t="s">
        <v>163</v>
      </c>
      <c r="E23" s="68">
        <v>69</v>
      </c>
      <c r="F23" s="68">
        <v>77</v>
      </c>
      <c r="G23" s="68">
        <v>89</v>
      </c>
      <c r="H23" s="68">
        <v>103</v>
      </c>
      <c r="I23" s="68">
        <v>119</v>
      </c>
      <c r="J23" s="68">
        <v>122</v>
      </c>
      <c r="K23" s="68">
        <v>122</v>
      </c>
      <c r="L23" s="68">
        <v>121</v>
      </c>
      <c r="M23" s="68">
        <f>+L23</f>
        <v>121</v>
      </c>
      <c r="N23" s="68">
        <f>30+74+11+24</f>
        <v>139</v>
      </c>
      <c r="O23" s="68">
        <v>151</v>
      </c>
      <c r="P23" s="68">
        <f>5+32+82+33</f>
        <v>152</v>
      </c>
      <c r="Q23" s="68"/>
      <c r="R23" s="68"/>
      <c r="Y23" s="21" t="s">
        <v>63</v>
      </c>
      <c r="Z23" s="54"/>
    </row>
    <row r="24" spans="1:27" ht="15.75" thickTop="1" x14ac:dyDescent="0.25">
      <c r="Y24" s="21" t="s">
        <v>62</v>
      </c>
    </row>
    <row r="25" spans="1:27" x14ac:dyDescent="0.25">
      <c r="B25" s="34"/>
      <c r="Z25" s="54">
        <v>2320956.13</v>
      </c>
    </row>
    <row r="26" spans="1:27" x14ac:dyDescent="0.25">
      <c r="B26" s="34"/>
      <c r="Z26" s="54"/>
    </row>
    <row r="27" spans="1:27" x14ac:dyDescent="0.25">
      <c r="B27" s="34"/>
      <c r="Z27" s="54"/>
    </row>
    <row r="28" spans="1:27" x14ac:dyDescent="0.25">
      <c r="B28" s="34"/>
      <c r="Z28" s="54"/>
    </row>
    <row r="29" spans="1:27" x14ac:dyDescent="0.25">
      <c r="B29" s="34"/>
      <c r="Z29" s="54"/>
    </row>
    <row r="30" spans="1:27" x14ac:dyDescent="0.25">
      <c r="B30" s="34"/>
      <c r="Z30" s="54"/>
    </row>
    <row r="31" spans="1:27" x14ac:dyDescent="0.25">
      <c r="B31" s="34"/>
      <c r="Z31" s="54"/>
    </row>
    <row r="32" spans="1:27" x14ac:dyDescent="0.25">
      <c r="B32" s="34"/>
      <c r="Z32" s="54"/>
    </row>
    <row r="33" spans="2:26" x14ac:dyDescent="0.25">
      <c r="B33" s="34"/>
      <c r="Z33" s="54"/>
    </row>
    <row r="34" spans="2:26" x14ac:dyDescent="0.25">
      <c r="B34" s="34"/>
      <c r="Z34" s="54"/>
    </row>
    <row r="35" spans="2:26" x14ac:dyDescent="0.25">
      <c r="B35" s="34"/>
      <c r="Z35" s="54"/>
    </row>
    <row r="36" spans="2:26" x14ac:dyDescent="0.25">
      <c r="B36" s="34"/>
      <c r="Z36" s="54"/>
    </row>
    <row r="37" spans="2:26" x14ac:dyDescent="0.25">
      <c r="B37" s="34"/>
      <c r="Z37" s="54"/>
    </row>
    <row r="38" spans="2:26" x14ac:dyDescent="0.25">
      <c r="B38" s="34"/>
      <c r="Z38" s="54"/>
    </row>
    <row r="39" spans="2:26" x14ac:dyDescent="0.25">
      <c r="B39" s="34"/>
      <c r="Z39" s="54"/>
    </row>
    <row r="40" spans="2:26" x14ac:dyDescent="0.25">
      <c r="B40" s="34"/>
      <c r="Z40" s="54"/>
    </row>
    <row r="41" spans="2:26" x14ac:dyDescent="0.25">
      <c r="Z41" s="54"/>
    </row>
    <row r="43" spans="2:26" x14ac:dyDescent="0.25">
      <c r="B43" s="72" t="s">
        <v>164</v>
      </c>
      <c r="C43" s="69" t="s">
        <v>165</v>
      </c>
      <c r="D43"/>
      <c r="E43"/>
      <c r="F43"/>
      <c r="G43"/>
      <c r="H43"/>
      <c r="I43"/>
      <c r="J43"/>
    </row>
    <row r="44" spans="2:26" x14ac:dyDescent="0.25">
      <c r="B44"/>
      <c r="C44"/>
      <c r="D44"/>
      <c r="E44"/>
      <c r="F44"/>
      <c r="G44"/>
      <c r="H44"/>
      <c r="I44"/>
      <c r="J44"/>
    </row>
    <row r="45" spans="2:26" x14ac:dyDescent="0.25">
      <c r="B45" s="69"/>
      <c r="C45" s="72" t="s">
        <v>166</v>
      </c>
      <c r="D45" s="69"/>
      <c r="E45" s="69"/>
      <c r="F45" s="69"/>
      <c r="G45" s="69"/>
      <c r="H45" s="69"/>
      <c r="I45" s="69"/>
      <c r="J45" s="69"/>
    </row>
    <row r="46" spans="2:26" x14ac:dyDescent="0.25">
      <c r="B46" s="72" t="s">
        <v>167</v>
      </c>
      <c r="C46" s="69">
        <v>13</v>
      </c>
      <c r="D46" s="69">
        <v>14</v>
      </c>
      <c r="E46" s="69">
        <v>15</v>
      </c>
      <c r="F46" s="69">
        <v>16</v>
      </c>
      <c r="G46" s="69">
        <v>17</v>
      </c>
      <c r="H46" s="69">
        <v>18</v>
      </c>
      <c r="I46" s="69">
        <v>19</v>
      </c>
      <c r="J46" s="69" t="s">
        <v>168</v>
      </c>
    </row>
    <row r="47" spans="2:26" x14ac:dyDescent="0.25">
      <c r="B47" s="70" t="s">
        <v>169</v>
      </c>
      <c r="C47" s="70">
        <v>6779926.46</v>
      </c>
      <c r="D47" s="70">
        <v>7355995.04</v>
      </c>
      <c r="E47" s="70">
        <v>8897512.5799999945</v>
      </c>
      <c r="F47" s="71">
        <v>8480688.7400000002</v>
      </c>
      <c r="G47" s="70">
        <v>8322685.4800000004</v>
      </c>
      <c r="H47" s="70">
        <v>10524606.049999999</v>
      </c>
      <c r="I47" s="70">
        <v>10895819.149999999</v>
      </c>
      <c r="J47" s="70">
        <v>61257233.499999993</v>
      </c>
    </row>
    <row r="48" spans="2:26" x14ac:dyDescent="0.25">
      <c r="B48" s="70" t="s">
        <v>170</v>
      </c>
      <c r="C48" s="70">
        <v>838213.75999999989</v>
      </c>
      <c r="D48" s="70">
        <v>1131399.8599999999</v>
      </c>
      <c r="E48" s="70">
        <v>656971.10000000009</v>
      </c>
      <c r="F48" s="71">
        <v>1306477.73</v>
      </c>
      <c r="G48" s="70">
        <v>2076691.76</v>
      </c>
      <c r="H48" s="70">
        <v>1059032.2000000002</v>
      </c>
      <c r="I48" s="70">
        <v>1230168.97</v>
      </c>
      <c r="J48" s="70">
        <v>8298955.3799999999</v>
      </c>
    </row>
    <row r="49" spans="2:10" x14ac:dyDescent="0.25">
      <c r="B49" s="70" t="s">
        <v>171</v>
      </c>
      <c r="C49" s="70">
        <v>-948291.34</v>
      </c>
      <c r="D49" s="70">
        <v>-811622.42999999993</v>
      </c>
      <c r="E49" s="70">
        <v>-1099321.92</v>
      </c>
      <c r="F49" s="71">
        <v>-1270694.22</v>
      </c>
      <c r="G49" s="70">
        <v>-943438.6</v>
      </c>
      <c r="H49" s="70">
        <v>-1403708.9900000002</v>
      </c>
      <c r="I49" s="70">
        <v>-1512535.92</v>
      </c>
      <c r="J49" s="70">
        <v>-7989613.4199999999</v>
      </c>
    </row>
    <row r="50" spans="2:10" x14ac:dyDescent="0.25">
      <c r="B50" s="70" t="s">
        <v>172</v>
      </c>
      <c r="C50" s="70">
        <v>755345.82000000007</v>
      </c>
      <c r="D50" s="70">
        <v>1300111.6499999999</v>
      </c>
      <c r="E50" s="70">
        <v>110032.88000000005</v>
      </c>
      <c r="F50" s="71">
        <v>-113259.13000000002</v>
      </c>
      <c r="G50" s="70">
        <v>1158533.4100000001</v>
      </c>
      <c r="H50" s="70">
        <v>822407.97000000032</v>
      </c>
      <c r="I50" s="70">
        <v>439317.13000000006</v>
      </c>
      <c r="J50" s="70">
        <v>4472489.7300000004</v>
      </c>
    </row>
    <row r="51" spans="2:10" x14ac:dyDescent="0.25">
      <c r="B51" s="70" t="s">
        <v>173</v>
      </c>
      <c r="C51" s="70">
        <v>-69199.670000000013</v>
      </c>
      <c r="D51" s="70">
        <v>-78371.540000000037</v>
      </c>
      <c r="E51" s="70">
        <v>-84505.9</v>
      </c>
      <c r="F51" s="71">
        <v>-80527.640000000014</v>
      </c>
      <c r="G51" s="70">
        <v>-89866.070000000036</v>
      </c>
      <c r="H51" s="70">
        <v>-106518.08000000003</v>
      </c>
      <c r="I51" s="70">
        <v>-107555.67</v>
      </c>
      <c r="J51" s="70">
        <v>-616544.57000000007</v>
      </c>
    </row>
    <row r="52" spans="2:10" x14ac:dyDescent="0.25">
      <c r="B52" s="70" t="s">
        <v>174</v>
      </c>
      <c r="C52" s="70">
        <v>7355995.04</v>
      </c>
      <c r="D52" s="70">
        <v>8897512.5799999945</v>
      </c>
      <c r="E52" s="70">
        <v>8480688.7400000002</v>
      </c>
      <c r="F52" s="71">
        <v>8322685.4800000004</v>
      </c>
      <c r="G52" s="70">
        <v>10524606.049999999</v>
      </c>
      <c r="H52" s="70">
        <v>10895819.15</v>
      </c>
      <c r="I52" s="70">
        <v>10945213.660000002</v>
      </c>
      <c r="J52" s="70">
        <v>65422520.699999996</v>
      </c>
    </row>
    <row r="53" spans="2:10" x14ac:dyDescent="0.25">
      <c r="B53"/>
      <c r="C53"/>
      <c r="D53"/>
      <c r="E53"/>
      <c r="F53" s="70"/>
      <c r="G53"/>
      <c r="H53"/>
      <c r="I53"/>
      <c r="J53"/>
    </row>
    <row r="54" spans="2:10" x14ac:dyDescent="0.25">
      <c r="I54" s="21" t="e">
        <f>+GETPIVOTDATA("Sum of Beginning Balance",'[2]SOA Jul19_Apr20'!$D$134)</f>
        <v>#REF!</v>
      </c>
    </row>
    <row r="55" spans="2:10" x14ac:dyDescent="0.25">
      <c r="I55" s="21" t="e">
        <f>+I54-GETPIVOTDATA("Sum of Ending Balance",$B$45,"FY",19)</f>
        <v>#REF!</v>
      </c>
    </row>
  </sheetData>
  <mergeCells count="5">
    <mergeCell ref="A1:R1"/>
    <mergeCell ref="A2:R2"/>
    <mergeCell ref="A3:R3"/>
    <mergeCell ref="A4:R4"/>
    <mergeCell ref="A5:R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3" zoomScale="90" zoomScaleNormal="90" workbookViewId="0">
      <selection activeCell="H13" sqref="H13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28.28515625" style="6" customWidth="1"/>
    <col min="9" max="9" width="15.28515625" style="6" customWidth="1"/>
    <col min="10" max="10" width="30.85546875" style="6" customWidth="1"/>
    <col min="11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17" t="s">
        <v>130</v>
      </c>
      <c r="C1" s="117"/>
      <c r="D1" s="117"/>
      <c r="E1" s="117"/>
      <c r="F1" s="117"/>
    </row>
    <row r="2" spans="2:32" ht="21" x14ac:dyDescent="0.25">
      <c r="B2" s="117" t="s">
        <v>131</v>
      </c>
      <c r="C2" s="117"/>
      <c r="D2" s="117"/>
      <c r="E2" s="117"/>
      <c r="F2" s="117"/>
    </row>
    <row r="3" spans="2:32" ht="21" customHeight="1" x14ac:dyDescent="0.25">
      <c r="B3" s="117" t="s">
        <v>238</v>
      </c>
      <c r="C3" s="117"/>
      <c r="D3" s="117"/>
      <c r="E3" s="117"/>
      <c r="F3" s="117"/>
    </row>
    <row r="4" spans="2:32" ht="18" customHeight="1" x14ac:dyDescent="0.25">
      <c r="B4" s="117" t="s">
        <v>132</v>
      </c>
      <c r="C4" s="117"/>
      <c r="D4" s="117"/>
      <c r="E4" s="117"/>
      <c r="F4" s="117"/>
    </row>
    <row r="6" spans="2:32" ht="12.95" customHeight="1" x14ac:dyDescent="0.25">
      <c r="D6" s="7"/>
      <c r="E6" s="8"/>
      <c r="F6" s="9"/>
      <c r="P6" s="6" t="s">
        <v>181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239</v>
      </c>
      <c r="P9" s="6" t="s">
        <v>180</v>
      </c>
      <c r="Q9" s="6" t="s">
        <v>178</v>
      </c>
      <c r="Z9"/>
      <c r="AA9"/>
      <c r="AB9"/>
      <c r="AC9"/>
      <c r="AD9"/>
      <c r="AE9"/>
    </row>
    <row r="10" spans="2:32" ht="12.95" customHeight="1" x14ac:dyDescent="0.25">
      <c r="B10" s="15" t="s">
        <v>133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134</v>
      </c>
      <c r="D11" s="19"/>
      <c r="E11" s="13"/>
      <c r="F11" s="111">
        <v>6065911.8699999992</v>
      </c>
      <c r="J11" s="110"/>
      <c r="P11" s="20">
        <v>3201659</v>
      </c>
      <c r="Q11" s="20">
        <f>+F11-P11</f>
        <v>2864252.8699999992</v>
      </c>
      <c r="W11" s="20"/>
      <c r="Z11"/>
      <c r="AA11"/>
      <c r="AB11"/>
      <c r="AC11"/>
      <c r="AD11"/>
      <c r="AE11"/>
      <c r="AF11" s="21"/>
    </row>
    <row r="12" spans="2:32" ht="12.95" hidden="1" customHeight="1" x14ac:dyDescent="0.25">
      <c r="D12" s="22"/>
      <c r="F12" s="16"/>
      <c r="J12" s="110"/>
      <c r="P12" s="20"/>
      <c r="W12" s="20"/>
      <c r="Z12"/>
      <c r="AA12"/>
      <c r="AB12"/>
      <c r="AC12"/>
      <c r="AD12"/>
      <c r="AE12"/>
      <c r="AF12" s="21"/>
    </row>
    <row r="13" spans="2:32" ht="12.95" customHeight="1" x14ac:dyDescent="0.25">
      <c r="D13" s="22"/>
      <c r="F13" s="16"/>
      <c r="J13" s="110"/>
      <c r="P13" s="20"/>
      <c r="W13" s="20"/>
      <c r="Z13"/>
      <c r="AA13"/>
      <c r="AB13"/>
      <c r="AC13"/>
      <c r="AD13"/>
      <c r="AE13"/>
      <c r="AF13" s="21"/>
    </row>
    <row r="14" spans="2:32" ht="12.95" customHeight="1" x14ac:dyDescent="0.25">
      <c r="B14" s="15" t="s">
        <v>207</v>
      </c>
      <c r="D14" s="22"/>
      <c r="F14" s="23"/>
      <c r="J14" s="110"/>
      <c r="P14" s="20"/>
      <c r="W14" s="20"/>
      <c r="Z14"/>
      <c r="AA14"/>
      <c r="AB14"/>
      <c r="AC14"/>
      <c r="AD14"/>
      <c r="AE14"/>
    </row>
    <row r="15" spans="2:32" ht="12.95" hidden="1" customHeight="1" x14ac:dyDescent="0.25">
      <c r="D15" s="22"/>
      <c r="F15" s="16"/>
      <c r="P15" s="20"/>
      <c r="W15" s="20"/>
      <c r="Z15"/>
      <c r="AA15"/>
      <c r="AB15"/>
      <c r="AC15"/>
      <c r="AD15"/>
      <c r="AE15"/>
    </row>
    <row r="16" spans="2:32" ht="12.95" customHeight="1" x14ac:dyDescent="0.25">
      <c r="B16" s="18" t="s">
        <v>135</v>
      </c>
      <c r="C16" s="18"/>
      <c r="D16" s="22"/>
      <c r="F16" s="111">
        <v>6003150.1499999994</v>
      </c>
      <c r="G16" s="24"/>
      <c r="H16" s="24"/>
      <c r="J16" s="24"/>
      <c r="K16" s="24"/>
      <c r="L16" s="24"/>
      <c r="M16" s="24"/>
      <c r="N16" s="24"/>
      <c r="O16" s="24"/>
      <c r="P16" s="24">
        <v>7176043</v>
      </c>
      <c r="Q16" s="20">
        <f>+F16-P16</f>
        <v>-1172892.8500000006</v>
      </c>
      <c r="R16" s="24"/>
      <c r="S16" s="24"/>
      <c r="T16" s="24"/>
      <c r="U16" s="24"/>
      <c r="V16" s="24"/>
      <c r="W16" s="20"/>
      <c r="X16" s="25"/>
      <c r="Z16"/>
      <c r="AA16"/>
      <c r="AB16"/>
      <c r="AC16"/>
      <c r="AD16"/>
      <c r="AE16"/>
    </row>
    <row r="17" spans="2:31" ht="12.95" hidden="1" customHeight="1" x14ac:dyDescent="0.25">
      <c r="D17" s="22"/>
      <c r="F17" s="16"/>
      <c r="I17" s="31"/>
      <c r="P17" s="20"/>
      <c r="Z17"/>
      <c r="AA17"/>
      <c r="AB17"/>
      <c r="AC17"/>
      <c r="AD17"/>
      <c r="AE17"/>
    </row>
    <row r="18" spans="2:31" ht="12.95" customHeight="1" x14ac:dyDescent="0.25">
      <c r="D18" s="20"/>
      <c r="F18" s="16"/>
      <c r="I18" s="31"/>
      <c r="P18" s="20"/>
    </row>
    <row r="19" spans="2:31" ht="12.95" hidden="1" customHeight="1" x14ac:dyDescent="0.25">
      <c r="F19" s="16"/>
      <c r="I19" s="31"/>
      <c r="P19" s="20"/>
    </row>
    <row r="20" spans="2:31" ht="12.95" customHeight="1" x14ac:dyDescent="0.25">
      <c r="B20" s="15" t="s">
        <v>176</v>
      </c>
      <c r="F20" s="111">
        <v>6451475.2799999993</v>
      </c>
      <c r="I20" s="31"/>
      <c r="P20" s="20">
        <v>4752663</v>
      </c>
      <c r="Q20" s="20">
        <f>+F20-P20</f>
        <v>1698812.2799999993</v>
      </c>
    </row>
    <row r="21" spans="2:31" ht="12.95" hidden="1" customHeight="1" x14ac:dyDescent="0.25">
      <c r="F21" s="26"/>
      <c r="P21" s="20"/>
    </row>
    <row r="22" spans="2:31" ht="12.95" customHeight="1" x14ac:dyDescent="0.25">
      <c r="F22" s="26"/>
      <c r="P22" s="20"/>
    </row>
    <row r="23" spans="2:31" ht="12.95" customHeight="1" x14ac:dyDescent="0.25">
      <c r="B23" s="15" t="s">
        <v>136</v>
      </c>
      <c r="F23" s="27">
        <v>330471.26999999996</v>
      </c>
      <c r="H23" s="96"/>
      <c r="I23" s="77"/>
      <c r="J23" s="77"/>
      <c r="K23" s="77"/>
      <c r="L23" s="77"/>
      <c r="P23" s="80">
        <v>496286</v>
      </c>
      <c r="Q23" s="80">
        <f>+F23-P23</f>
        <v>-165814.73000000004</v>
      </c>
    </row>
    <row r="24" spans="2:31" ht="12.95" customHeight="1" x14ac:dyDescent="0.25">
      <c r="B24" s="15"/>
      <c r="H24" s="89"/>
      <c r="I24" s="89"/>
      <c r="J24" s="89"/>
      <c r="K24" s="89"/>
      <c r="L24" s="89"/>
      <c r="X24" s="28"/>
    </row>
    <row r="25" spans="2:31" ht="15.75" thickBot="1" x14ac:dyDescent="0.3">
      <c r="B25" s="15" t="s">
        <v>137</v>
      </c>
      <c r="F25" s="29">
        <f>SUM(F11:F24)</f>
        <v>18851008.569999997</v>
      </c>
      <c r="H25" s="91" t="s">
        <v>204</v>
      </c>
      <c r="I25" s="91"/>
      <c r="J25" s="91"/>
      <c r="K25" s="91"/>
      <c r="L25" s="91"/>
      <c r="P25" s="29">
        <f>SUM(P11:P24)</f>
        <v>15626651</v>
      </c>
      <c r="Q25" s="29">
        <f>SUM(Q11:Q24)</f>
        <v>3224357.569999998</v>
      </c>
    </row>
    <row r="26" spans="2:31" ht="18.75" thickTop="1" x14ac:dyDescent="0.25">
      <c r="B26" s="15"/>
      <c r="F26" s="30"/>
      <c r="H26" s="129">
        <v>19170097</v>
      </c>
      <c r="I26" s="32"/>
      <c r="J26" s="32"/>
      <c r="K26" s="32"/>
      <c r="L26" s="32"/>
    </row>
    <row r="27" spans="2:31" ht="18" x14ac:dyDescent="0.25">
      <c r="B27" s="15"/>
      <c r="F27" s="30"/>
      <c r="H27" s="99"/>
      <c r="I27" s="31"/>
      <c r="J27" s="110"/>
      <c r="K27" s="87"/>
      <c r="L27" s="87"/>
    </row>
    <row r="28" spans="2:31" x14ac:dyDescent="0.25">
      <c r="B28" s="15"/>
      <c r="F28" s="30"/>
      <c r="H28" s="31"/>
      <c r="I28" s="31"/>
      <c r="J28" s="110"/>
    </row>
    <row r="29" spans="2:31" x14ac:dyDescent="0.25">
      <c r="B29" s="15"/>
      <c r="F29" s="20"/>
      <c r="I29" s="31"/>
      <c r="J29" s="110"/>
    </row>
    <row r="30" spans="2:31" x14ac:dyDescent="0.25">
      <c r="F30" s="28"/>
      <c r="I30" s="31"/>
      <c r="J30" s="110"/>
    </row>
    <row r="31" spans="2:31" x14ac:dyDescent="0.25">
      <c r="I31" s="31"/>
    </row>
    <row r="32" spans="2:31" x14ac:dyDescent="0.25">
      <c r="F32" s="31"/>
      <c r="I32" s="33"/>
      <c r="W32" s="32"/>
    </row>
    <row r="33" spans="4:32" x14ac:dyDescent="0.25">
      <c r="D33" s="77"/>
      <c r="F33" s="33"/>
    </row>
    <row r="34" spans="4:32" x14ac:dyDescent="0.25">
      <c r="F34" s="33"/>
      <c r="AF34" s="6" t="s">
        <v>138</v>
      </c>
    </row>
    <row r="35" spans="4:32" x14ac:dyDescent="0.25">
      <c r="F35" s="33"/>
      <c r="AF35" s="6" t="s">
        <v>139</v>
      </c>
    </row>
    <row r="36" spans="4:32" x14ac:dyDescent="0.25">
      <c r="F36" s="33"/>
      <c r="AF36" s="6" t="s">
        <v>140</v>
      </c>
    </row>
    <row r="37" spans="4:32" x14ac:dyDescent="0.25">
      <c r="F37" s="33"/>
      <c r="AF37" s="6" t="s">
        <v>141</v>
      </c>
    </row>
    <row r="38" spans="4:32" x14ac:dyDescent="0.25">
      <c r="F38" s="24"/>
    </row>
    <row r="39" spans="4:32" x14ac:dyDescent="0.25">
      <c r="F39" s="24"/>
    </row>
    <row r="40" spans="4:32" x14ac:dyDescent="0.25">
      <c r="F40" s="24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topLeftCell="A6" workbookViewId="0">
      <selection activeCell="A68" sqref="A68:C68"/>
    </sheetView>
  </sheetViews>
  <sheetFormatPr defaultRowHeight="15" x14ac:dyDescent="0.25"/>
  <cols>
    <col min="1" max="1" width="43.85546875" customWidth="1"/>
    <col min="2" max="2" width="24.85546875" customWidth="1"/>
    <col min="3" max="3" width="17.85546875" bestFit="1" customWidth="1"/>
  </cols>
  <sheetData>
    <row r="1" spans="1:3" ht="18" x14ac:dyDescent="0.25">
      <c r="A1" s="118" t="s">
        <v>56</v>
      </c>
      <c r="B1" s="119"/>
    </row>
    <row r="2" spans="1:3" ht="18" x14ac:dyDescent="0.25">
      <c r="A2" s="118" t="s">
        <v>57</v>
      </c>
      <c r="B2" s="119"/>
    </row>
    <row r="3" spans="1:3" x14ac:dyDescent="0.25">
      <c r="A3" s="120" t="s">
        <v>240</v>
      </c>
      <c r="B3" s="119"/>
    </row>
    <row r="4" spans="1:3" x14ac:dyDescent="0.25">
      <c r="B4" s="78"/>
    </row>
    <row r="5" spans="1:3" x14ac:dyDescent="0.25">
      <c r="A5" s="1"/>
      <c r="B5" s="94" t="s">
        <v>0</v>
      </c>
    </row>
    <row r="6" spans="1:3" x14ac:dyDescent="0.25">
      <c r="A6" s="1"/>
      <c r="B6" s="100"/>
    </row>
    <row r="7" spans="1:3" x14ac:dyDescent="0.25">
      <c r="A7" s="1"/>
      <c r="B7" s="100"/>
    </row>
    <row r="8" spans="1:3" ht="36.75" customHeight="1" x14ac:dyDescent="0.25">
      <c r="A8" s="3" t="s">
        <v>1</v>
      </c>
      <c r="B8" s="2"/>
    </row>
    <row r="9" spans="1:3" x14ac:dyDescent="0.25">
      <c r="A9" s="3" t="s">
        <v>2</v>
      </c>
      <c r="B9" s="2"/>
    </row>
    <row r="10" spans="1:3" x14ac:dyDescent="0.25">
      <c r="A10" s="3" t="s">
        <v>3</v>
      </c>
      <c r="B10" s="2"/>
    </row>
    <row r="11" spans="1:3" x14ac:dyDescent="0.25">
      <c r="A11" s="112" t="s">
        <v>4</v>
      </c>
      <c r="B11" s="102">
        <f>0</f>
        <v>0</v>
      </c>
      <c r="C11" s="102">
        <f>0</f>
        <v>0</v>
      </c>
    </row>
    <row r="12" spans="1:3" x14ac:dyDescent="0.25">
      <c r="A12" s="112" t="s">
        <v>5</v>
      </c>
      <c r="B12" s="102">
        <f>325.16</f>
        <v>325.16000000000003</v>
      </c>
      <c r="C12" s="102">
        <f>273</f>
        <v>273</v>
      </c>
    </row>
    <row r="13" spans="1:3" x14ac:dyDescent="0.25">
      <c r="A13" s="112" t="s">
        <v>6</v>
      </c>
      <c r="B13" s="102">
        <f>5880.75</f>
        <v>5880.75</v>
      </c>
      <c r="C13" s="102">
        <f>7650.11</f>
        <v>7650.11</v>
      </c>
    </row>
    <row r="14" spans="1:3" x14ac:dyDescent="0.25">
      <c r="A14" s="112" t="s">
        <v>7</v>
      </c>
      <c r="B14" s="102">
        <f>13920.42</f>
        <v>13920.42</v>
      </c>
      <c r="C14" s="102">
        <f>4263.79</f>
        <v>4263.79</v>
      </c>
    </row>
    <row r="15" spans="1:3" x14ac:dyDescent="0.25">
      <c r="A15" s="112" t="s">
        <v>8</v>
      </c>
      <c r="B15" s="102">
        <f>708.74</f>
        <v>708.74</v>
      </c>
      <c r="C15" s="102">
        <f>701.32</f>
        <v>701.32</v>
      </c>
    </row>
    <row r="16" spans="1:3" x14ac:dyDescent="0.25">
      <c r="A16" s="112" t="s">
        <v>206</v>
      </c>
      <c r="B16" s="102">
        <f>86.98</f>
        <v>86.98</v>
      </c>
      <c r="C16" s="102">
        <f>63.55</f>
        <v>63.55</v>
      </c>
    </row>
    <row r="17" spans="1:3" x14ac:dyDescent="0.25">
      <c r="A17" s="112" t="s">
        <v>9</v>
      </c>
      <c r="B17" s="103">
        <f>(((((B11)+(B12))+(B13))+(B14))+(B15))+(B16)</f>
        <v>20922.050000000003</v>
      </c>
      <c r="C17" s="103">
        <f>(((((C11)+(C12))+(C13))+(C14))+(C15))+(C16)</f>
        <v>12951.769999999999</v>
      </c>
    </row>
    <row r="18" spans="1:3" x14ac:dyDescent="0.25">
      <c r="A18" s="3" t="s">
        <v>10</v>
      </c>
      <c r="B18" s="101"/>
      <c r="C18" s="101"/>
    </row>
    <row r="19" spans="1:3" x14ac:dyDescent="0.25">
      <c r="A19" s="3" t="s">
        <v>11</v>
      </c>
      <c r="B19" s="102">
        <f>19999.98</f>
        <v>19999.98</v>
      </c>
      <c r="C19" s="102">
        <f>25844.57</f>
        <v>25844.57</v>
      </c>
    </row>
    <row r="20" spans="1:3" x14ac:dyDescent="0.25">
      <c r="A20" s="3" t="s">
        <v>12</v>
      </c>
      <c r="B20" s="103">
        <f>B19</f>
        <v>19999.98</v>
      </c>
      <c r="C20" s="103">
        <f>C19</f>
        <v>25844.57</v>
      </c>
    </row>
    <row r="21" spans="1:3" x14ac:dyDescent="0.25">
      <c r="A21" s="3" t="s">
        <v>13</v>
      </c>
      <c r="B21" s="101"/>
      <c r="C21" s="101"/>
    </row>
    <row r="22" spans="1:3" x14ac:dyDescent="0.25">
      <c r="A22" s="3" t="s">
        <v>14</v>
      </c>
      <c r="B22" s="102">
        <f>0</f>
        <v>0</v>
      </c>
      <c r="C22" s="102">
        <f>0</f>
        <v>0</v>
      </c>
    </row>
    <row r="23" spans="1:3" x14ac:dyDescent="0.25">
      <c r="A23" s="3" t="s">
        <v>15</v>
      </c>
      <c r="B23" s="103">
        <f>B22</f>
        <v>0</v>
      </c>
      <c r="C23" s="103">
        <f>C22</f>
        <v>0</v>
      </c>
    </row>
    <row r="24" spans="1:3" x14ac:dyDescent="0.25">
      <c r="A24" s="3" t="s">
        <v>16</v>
      </c>
      <c r="B24" s="103">
        <f>((B17)+(B20))+(B23)</f>
        <v>40922.03</v>
      </c>
      <c r="C24" s="103">
        <f>((C17)+(C20))+(C23)</f>
        <v>38796.339999999997</v>
      </c>
    </row>
    <row r="25" spans="1:3" x14ac:dyDescent="0.25">
      <c r="A25" s="3" t="s">
        <v>17</v>
      </c>
      <c r="B25" s="101"/>
      <c r="C25" s="101"/>
    </row>
    <row r="26" spans="1:3" x14ac:dyDescent="0.25">
      <c r="A26" s="112" t="s">
        <v>27</v>
      </c>
      <c r="B26" s="102">
        <f>2899.51</f>
        <v>2899.51</v>
      </c>
      <c r="C26" s="102">
        <f>-1140.64</f>
        <v>-1140.6400000000001</v>
      </c>
    </row>
    <row r="27" spans="1:3" x14ac:dyDescent="0.25">
      <c r="A27" s="112" t="s">
        <v>248</v>
      </c>
      <c r="B27" s="102">
        <f>0</f>
        <v>0</v>
      </c>
      <c r="C27" s="102">
        <f>1876</f>
        <v>1876</v>
      </c>
    </row>
    <row r="28" spans="1:3" x14ac:dyDescent="0.25">
      <c r="A28" s="3" t="s">
        <v>19</v>
      </c>
      <c r="B28" s="102">
        <f>-2805.97</f>
        <v>-2805.97</v>
      </c>
      <c r="C28" s="102">
        <f>-2328.97</f>
        <v>-2328.9699999999998</v>
      </c>
    </row>
    <row r="29" spans="1:3" x14ac:dyDescent="0.25">
      <c r="A29" s="3" t="s">
        <v>18</v>
      </c>
      <c r="B29" s="102">
        <f>11498.97</f>
        <v>11498.97</v>
      </c>
      <c r="C29" s="102">
        <f>12328.97</f>
        <v>12328.97</v>
      </c>
    </row>
    <row r="30" spans="1:3" x14ac:dyDescent="0.25">
      <c r="A30" s="3" t="s">
        <v>20</v>
      </c>
      <c r="B30" s="103">
        <f>+B26+B27+B28+B29</f>
        <v>11592.51</v>
      </c>
      <c r="C30" s="103">
        <f>+C26+C27+C28+C29</f>
        <v>10735.359999999999</v>
      </c>
    </row>
    <row r="31" spans="1:3" x14ac:dyDescent="0.25">
      <c r="A31" s="3" t="s">
        <v>21</v>
      </c>
      <c r="B31" s="101"/>
      <c r="C31" s="101"/>
    </row>
    <row r="32" spans="1:3" x14ac:dyDescent="0.25">
      <c r="A32" s="3" t="s">
        <v>22</v>
      </c>
      <c r="B32" s="102">
        <f>0</f>
        <v>0</v>
      </c>
      <c r="C32" s="102">
        <f>0</f>
        <v>0</v>
      </c>
    </row>
    <row r="33" spans="1:3" x14ac:dyDescent="0.25">
      <c r="A33" s="3" t="s">
        <v>23</v>
      </c>
      <c r="B33" s="102">
        <f>12517913.82</f>
        <v>12517913.82</v>
      </c>
      <c r="C33" s="102">
        <f>11293171.87</f>
        <v>11293171.869999999</v>
      </c>
    </row>
    <row r="34" spans="1:3" x14ac:dyDescent="0.25">
      <c r="A34" s="3" t="s">
        <v>24</v>
      </c>
      <c r="B34" s="102">
        <f>6326692.38</f>
        <v>6326692.3799999999</v>
      </c>
      <c r="C34" s="102">
        <f>5378450.46</f>
        <v>5378450.46</v>
      </c>
    </row>
    <row r="35" spans="1:3" x14ac:dyDescent="0.25">
      <c r="A35" s="3" t="s">
        <v>25</v>
      </c>
      <c r="B35" s="102">
        <f>4647.37</f>
        <v>4647.37</v>
      </c>
      <c r="C35" s="102">
        <f>6767.37</f>
        <v>6767.37</v>
      </c>
    </row>
    <row r="36" spans="1:3" x14ac:dyDescent="0.25">
      <c r="A36" s="3" t="s">
        <v>26</v>
      </c>
      <c r="B36" s="103">
        <f>(((B32)+(B33))+(B34))+(B35)</f>
        <v>18849253.57</v>
      </c>
      <c r="C36" s="103">
        <f>(((C32)+(C33))+(C34))+(C35)</f>
        <v>16678389.699999997</v>
      </c>
    </row>
    <row r="37" spans="1:3" x14ac:dyDescent="0.25">
      <c r="A37" s="3" t="s">
        <v>28</v>
      </c>
      <c r="B37" s="102">
        <f>84138.89</f>
        <v>84138.89</v>
      </c>
      <c r="C37" s="102">
        <f>70214.89</f>
        <v>70214.89</v>
      </c>
    </row>
    <row r="38" spans="1:3" x14ac:dyDescent="0.25">
      <c r="A38" s="3" t="s">
        <v>29</v>
      </c>
      <c r="B38" s="102">
        <f>4944.69</f>
        <v>4944.6899999999996</v>
      </c>
      <c r="C38" s="102">
        <f>4399.69</f>
        <v>4399.6899999999996</v>
      </c>
    </row>
    <row r="39" spans="1:3" x14ac:dyDescent="0.25">
      <c r="A39" s="3" t="s">
        <v>30</v>
      </c>
      <c r="B39" s="102">
        <f>0</f>
        <v>0</v>
      </c>
      <c r="C39" s="102">
        <f>0</f>
        <v>0</v>
      </c>
    </row>
    <row r="40" spans="1:3" x14ac:dyDescent="0.25">
      <c r="A40" s="3" t="s">
        <v>31</v>
      </c>
      <c r="B40" s="102">
        <f>0</f>
        <v>0</v>
      </c>
      <c r="C40" s="102">
        <f>0</f>
        <v>0</v>
      </c>
    </row>
    <row r="41" spans="1:3" x14ac:dyDescent="0.25">
      <c r="A41" s="3" t="s">
        <v>32</v>
      </c>
      <c r="B41" s="102">
        <f>0</f>
        <v>0</v>
      </c>
      <c r="C41" s="102">
        <f>0</f>
        <v>0</v>
      </c>
    </row>
    <row r="42" spans="1:3" x14ac:dyDescent="0.25">
      <c r="A42" s="3" t="s">
        <v>33</v>
      </c>
      <c r="B42" s="103">
        <f>+B36+B37+B38+B39+B40+B41</f>
        <v>18938337.150000002</v>
      </c>
      <c r="C42" s="103">
        <f>+C36+C37+C38+C39+C40+C41</f>
        <v>16753004.279999997</v>
      </c>
    </row>
    <row r="43" spans="1:3" x14ac:dyDescent="0.25">
      <c r="A43" s="3" t="s">
        <v>34</v>
      </c>
      <c r="B43" s="103">
        <f>((B24)+(B30))+(B42)</f>
        <v>18990851.690000001</v>
      </c>
      <c r="C43" s="103">
        <f>((C24)+(C30))+(C42)</f>
        <v>16802535.979999997</v>
      </c>
    </row>
    <row r="44" spans="1:3" x14ac:dyDescent="0.25">
      <c r="A44" s="3" t="s">
        <v>35</v>
      </c>
      <c r="B44" s="101"/>
      <c r="C44" s="101"/>
    </row>
    <row r="45" spans="1:3" x14ac:dyDescent="0.25">
      <c r="A45" s="3" t="s">
        <v>36</v>
      </c>
      <c r="B45" s="101"/>
      <c r="C45" s="101"/>
    </row>
    <row r="46" spans="1:3" x14ac:dyDescent="0.25">
      <c r="A46" s="3" t="s">
        <v>37</v>
      </c>
      <c r="B46" s="101"/>
      <c r="C46" s="101"/>
    </row>
    <row r="47" spans="1:3" x14ac:dyDescent="0.25">
      <c r="A47" s="3" t="s">
        <v>38</v>
      </c>
      <c r="B47" s="101"/>
      <c r="C47" s="101"/>
    </row>
    <row r="48" spans="1:3" x14ac:dyDescent="0.25">
      <c r="A48" s="112" t="s">
        <v>39</v>
      </c>
      <c r="B48" s="102">
        <f>8934.04</f>
        <v>8934.0400000000009</v>
      </c>
      <c r="C48" s="102">
        <f>10245.01</f>
        <v>10245.01</v>
      </c>
    </row>
    <row r="49" spans="1:3" x14ac:dyDescent="0.25">
      <c r="A49" s="112" t="s">
        <v>40</v>
      </c>
      <c r="B49" s="103">
        <f>B48</f>
        <v>8934.0400000000009</v>
      </c>
      <c r="C49" s="103">
        <f>C48</f>
        <v>10245.01</v>
      </c>
    </row>
    <row r="50" spans="1:3" x14ac:dyDescent="0.25">
      <c r="A50" s="112" t="s">
        <v>41</v>
      </c>
      <c r="B50" s="101"/>
      <c r="C50" s="101"/>
    </row>
    <row r="51" spans="1:3" x14ac:dyDescent="0.25">
      <c r="A51" s="112" t="s">
        <v>42</v>
      </c>
      <c r="B51" s="102">
        <f>0</f>
        <v>0</v>
      </c>
      <c r="C51" s="102">
        <f>0</f>
        <v>0</v>
      </c>
    </row>
    <row r="52" spans="1:3" x14ac:dyDescent="0.25">
      <c r="A52" s="112" t="s">
        <v>43</v>
      </c>
      <c r="B52" s="102">
        <f>0</f>
        <v>0</v>
      </c>
      <c r="C52" s="102">
        <f>8500</f>
        <v>8500</v>
      </c>
    </row>
    <row r="53" spans="1:3" x14ac:dyDescent="0.25">
      <c r="A53" s="112" t="s">
        <v>44</v>
      </c>
      <c r="B53" s="102">
        <f>6340980.12</f>
        <v>6340980.1200000001</v>
      </c>
      <c r="C53" s="102">
        <f>5383321.2</f>
        <v>5383321.2000000002</v>
      </c>
    </row>
    <row r="54" spans="1:3" x14ac:dyDescent="0.25">
      <c r="A54" s="112" t="s">
        <v>45</v>
      </c>
      <c r="B54" s="103">
        <f>((B51)+(B52))+(B53)</f>
        <v>6340980.1200000001</v>
      </c>
      <c r="C54" s="103">
        <f>((C51)+(C52))+(C53)</f>
        <v>5391821.2000000002</v>
      </c>
    </row>
    <row r="55" spans="1:3" x14ac:dyDescent="0.25">
      <c r="A55" s="112" t="s">
        <v>46</v>
      </c>
      <c r="B55" s="103">
        <f>(B49)+(B54)</f>
        <v>6349914.1600000001</v>
      </c>
      <c r="C55" s="103">
        <f>(C49)+(C54)</f>
        <v>5402066.21</v>
      </c>
    </row>
    <row r="56" spans="1:3" x14ac:dyDescent="0.25">
      <c r="A56" s="112" t="s">
        <v>47</v>
      </c>
      <c r="B56" s="103">
        <f>B55</f>
        <v>6349914.1600000001</v>
      </c>
      <c r="C56" s="103">
        <f>C55</f>
        <v>5402066.21</v>
      </c>
    </row>
    <row r="57" spans="1:3" x14ac:dyDescent="0.25">
      <c r="A57" s="112" t="s">
        <v>48</v>
      </c>
      <c r="B57" s="101"/>
      <c r="C57" s="101"/>
    </row>
    <row r="58" spans="1:3" x14ac:dyDescent="0.25">
      <c r="A58" s="112" t="s">
        <v>49</v>
      </c>
      <c r="B58" s="102">
        <f>6080225.96</f>
        <v>6080225.96</v>
      </c>
      <c r="C58" s="102">
        <f>3800186.96</f>
        <v>3800186.96</v>
      </c>
    </row>
    <row r="59" spans="1:3" x14ac:dyDescent="0.25">
      <c r="A59" s="112" t="s">
        <v>50</v>
      </c>
      <c r="B59" s="102">
        <f>4758594.91</f>
        <v>4758594.91</v>
      </c>
      <c r="C59" s="102">
        <f>4629794.91</f>
        <v>4629794.91</v>
      </c>
    </row>
    <row r="60" spans="1:3" x14ac:dyDescent="0.25">
      <c r="A60" s="112" t="s">
        <v>51</v>
      </c>
      <c r="B60" s="102">
        <f>844690.07</f>
        <v>844690.07</v>
      </c>
      <c r="C60" s="102">
        <f>761386.07</f>
        <v>761386.07</v>
      </c>
    </row>
    <row r="61" spans="1:3" x14ac:dyDescent="0.25">
      <c r="A61" s="112" t="s">
        <v>52</v>
      </c>
      <c r="B61" s="102">
        <f>416773.47</f>
        <v>416773.47</v>
      </c>
      <c r="C61" s="102">
        <f>1302529.31</f>
        <v>1302529.31</v>
      </c>
    </row>
    <row r="62" spans="1:3" x14ac:dyDescent="0.25">
      <c r="A62" s="112" t="s">
        <v>53</v>
      </c>
      <c r="B62" s="102">
        <f>540653.12</f>
        <v>540653.12</v>
      </c>
      <c r="C62" s="102">
        <f>906572.52</f>
        <v>906572.52</v>
      </c>
    </row>
    <row r="63" spans="1:3" x14ac:dyDescent="0.25">
      <c r="A63" s="112" t="s">
        <v>54</v>
      </c>
      <c r="B63" s="103">
        <f>((((B58)+(B59))+(B60))+(B61))+(B62)</f>
        <v>12640937.530000001</v>
      </c>
      <c r="C63" s="103">
        <f>((((C58)+(C59))+(C60))+(C61))+(C62)</f>
        <v>11400469.770000001</v>
      </c>
    </row>
    <row r="64" spans="1:3" x14ac:dyDescent="0.25">
      <c r="A64" s="112" t="s">
        <v>55</v>
      </c>
      <c r="B64" s="103">
        <f>(B56)+(B63)</f>
        <v>18990851.690000001</v>
      </c>
      <c r="C64" s="103">
        <f>(C56)+(C63)</f>
        <v>16802535.98</v>
      </c>
    </row>
    <row r="65" spans="1:3" x14ac:dyDescent="0.25">
      <c r="A65" s="3"/>
      <c r="B65" s="2"/>
      <c r="C65" s="78"/>
    </row>
    <row r="66" spans="1:3" x14ac:dyDescent="0.25">
      <c r="A66" s="121" t="s">
        <v>58</v>
      </c>
      <c r="B66" s="121"/>
    </row>
    <row r="68" spans="1:3" x14ac:dyDescent="0.25">
      <c r="A68" s="122" t="s">
        <v>249</v>
      </c>
      <c r="B68" s="119"/>
      <c r="C68" s="119"/>
    </row>
  </sheetData>
  <mergeCells count="5">
    <mergeCell ref="A1:B1"/>
    <mergeCell ref="A2:B2"/>
    <mergeCell ref="A3:B3"/>
    <mergeCell ref="A66:B66"/>
    <mergeCell ref="A68:C6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5"/>
  <sheetViews>
    <sheetView tabSelected="1" zoomScale="120" zoomScaleNormal="120" workbookViewId="0">
      <pane xSplit="1" ySplit="6" topLeftCell="B63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16.7109375" customWidth="1"/>
    <col min="12" max="13" width="11.5703125" bestFit="1" customWidth="1"/>
    <col min="14" max="14" width="9.7109375" bestFit="1" customWidth="1"/>
  </cols>
  <sheetData>
    <row r="1" spans="1:16" ht="18" x14ac:dyDescent="0.25">
      <c r="A1" s="118" t="s">
        <v>56</v>
      </c>
      <c r="B1" s="119"/>
      <c r="C1" s="119"/>
      <c r="D1" s="119"/>
      <c r="E1" s="119"/>
    </row>
    <row r="2" spans="1:16" ht="18" x14ac:dyDescent="0.25">
      <c r="A2" s="118" t="s">
        <v>183</v>
      </c>
      <c r="B2" s="119"/>
      <c r="C2" s="119"/>
      <c r="D2" s="119"/>
      <c r="E2" s="119"/>
    </row>
    <row r="3" spans="1:16" x14ac:dyDescent="0.25">
      <c r="A3" s="126" t="s">
        <v>241</v>
      </c>
      <c r="B3" s="119"/>
      <c r="C3" s="119"/>
      <c r="D3" s="119"/>
      <c r="E3" s="119"/>
    </row>
    <row r="4" spans="1:16" ht="21" x14ac:dyDescent="0.35">
      <c r="A4" s="97"/>
    </row>
    <row r="5" spans="1:16" x14ac:dyDescent="0.25">
      <c r="A5" s="1"/>
      <c r="B5" s="127" t="s">
        <v>0</v>
      </c>
      <c r="C5" s="128"/>
      <c r="D5" s="128"/>
      <c r="E5" s="128"/>
      <c r="K5" s="125" t="s">
        <v>250</v>
      </c>
      <c r="L5" s="125"/>
      <c r="M5" s="125"/>
      <c r="N5" s="125"/>
    </row>
    <row r="6" spans="1:16" ht="28.5" customHeight="1" thickBot="1" x14ac:dyDescent="0.3">
      <c r="A6" s="1"/>
      <c r="B6" s="81" t="s">
        <v>122</v>
      </c>
      <c r="C6" s="81" t="s">
        <v>121</v>
      </c>
      <c r="D6" s="81" t="s">
        <v>120</v>
      </c>
      <c r="E6" s="81" t="s">
        <v>119</v>
      </c>
      <c r="K6" s="124" t="s">
        <v>214</v>
      </c>
      <c r="L6" s="124"/>
      <c r="M6" s="124"/>
      <c r="N6" s="124"/>
    </row>
    <row r="7" spans="1:16" ht="28.5" customHeight="1" x14ac:dyDescent="0.25">
      <c r="A7" s="3" t="s">
        <v>118</v>
      </c>
      <c r="B7" s="2"/>
      <c r="C7" s="2"/>
      <c r="D7" s="2"/>
      <c r="E7" s="2"/>
      <c r="K7" s="104"/>
      <c r="L7" s="104"/>
      <c r="M7" s="104"/>
      <c r="N7" s="104"/>
    </row>
    <row r="8" spans="1:16" x14ac:dyDescent="0.25">
      <c r="A8" s="3" t="s">
        <v>117</v>
      </c>
      <c r="B8" s="2"/>
      <c r="C8" s="5">
        <f>0</f>
        <v>0</v>
      </c>
      <c r="D8" s="5">
        <f t="shared" ref="D8:D18" si="0">(B8)-(C8)</f>
        <v>0</v>
      </c>
      <c r="E8" s="85" t="str">
        <f t="shared" ref="E8:E18" si="1">IF(C8=0,"",(B8)/(C8))</f>
        <v/>
      </c>
      <c r="K8" s="83"/>
      <c r="L8" s="105" t="s">
        <v>122</v>
      </c>
      <c r="M8" s="105" t="s">
        <v>121</v>
      </c>
      <c r="N8" s="105" t="s">
        <v>178</v>
      </c>
    </row>
    <row r="9" spans="1:16" x14ac:dyDescent="0.25">
      <c r="A9" s="3" t="s">
        <v>116</v>
      </c>
      <c r="B9" s="5">
        <f>39112.22</f>
        <v>39112.22</v>
      </c>
      <c r="C9" s="5">
        <f>23500</f>
        <v>23500</v>
      </c>
      <c r="D9" s="5">
        <f t="shared" si="0"/>
        <v>15612.220000000001</v>
      </c>
      <c r="E9" s="85">
        <f t="shared" si="1"/>
        <v>1.6643497872340427</v>
      </c>
      <c r="K9" s="83" t="s">
        <v>215</v>
      </c>
      <c r="L9" s="106">
        <f>+B9</f>
        <v>39112.22</v>
      </c>
      <c r="M9" s="106">
        <f>+C9</f>
        <v>23500</v>
      </c>
      <c r="N9" s="106">
        <f>+L9-M9</f>
        <v>15612.220000000001</v>
      </c>
      <c r="O9" s="93"/>
      <c r="P9" s="93"/>
    </row>
    <row r="10" spans="1:16" x14ac:dyDescent="0.25">
      <c r="A10" s="3" t="s">
        <v>223</v>
      </c>
      <c r="B10" s="2"/>
      <c r="C10" s="5">
        <f>0</f>
        <v>0</v>
      </c>
      <c r="D10" s="5">
        <f t="shared" si="0"/>
        <v>0</v>
      </c>
      <c r="E10" s="85" t="str">
        <f t="shared" si="1"/>
        <v/>
      </c>
      <c r="K10" s="83" t="s">
        <v>227</v>
      </c>
      <c r="L10" s="106"/>
      <c r="M10" s="106"/>
      <c r="N10" s="106"/>
      <c r="O10" s="93"/>
      <c r="P10" s="93"/>
    </row>
    <row r="11" spans="1:16" x14ac:dyDescent="0.25">
      <c r="A11" s="3" t="s">
        <v>115</v>
      </c>
      <c r="B11" s="2"/>
      <c r="C11" s="5">
        <f>0</f>
        <v>0</v>
      </c>
      <c r="D11" s="5">
        <f t="shared" si="0"/>
        <v>0</v>
      </c>
      <c r="E11" s="85" t="str">
        <f t="shared" si="1"/>
        <v/>
      </c>
      <c r="K11" s="83"/>
      <c r="L11" s="107"/>
      <c r="M11" s="107"/>
      <c r="N11" s="107"/>
      <c r="O11" s="93"/>
      <c r="P11" s="93"/>
    </row>
    <row r="12" spans="1:16" x14ac:dyDescent="0.25">
      <c r="A12" s="3" t="s">
        <v>114</v>
      </c>
      <c r="B12" s="5">
        <f>90916.82</f>
        <v>90916.82</v>
      </c>
      <c r="C12" s="5">
        <f>83750</f>
        <v>83750</v>
      </c>
      <c r="D12" s="5">
        <f t="shared" si="0"/>
        <v>7166.820000000007</v>
      </c>
      <c r="E12" s="85">
        <f t="shared" si="1"/>
        <v>1.0855739701492537</v>
      </c>
      <c r="K12" s="83" t="s">
        <v>217</v>
      </c>
      <c r="L12" s="106">
        <f>+B12</f>
        <v>90916.82</v>
      </c>
      <c r="M12" s="106">
        <f>+C12</f>
        <v>83750</v>
      </c>
      <c r="N12" s="106">
        <f>+L12-M12</f>
        <v>7166.820000000007</v>
      </c>
      <c r="O12" s="93"/>
      <c r="P12" s="93"/>
    </row>
    <row r="13" spans="1:16" x14ac:dyDescent="0.25">
      <c r="A13" s="3" t="s">
        <v>184</v>
      </c>
      <c r="B13" s="4">
        <f>(B11)+(B12)</f>
        <v>90916.82</v>
      </c>
      <c r="C13" s="4">
        <f>(C11)+(C12)</f>
        <v>83750</v>
      </c>
      <c r="D13" s="4">
        <f t="shared" si="0"/>
        <v>7166.820000000007</v>
      </c>
      <c r="E13" s="86">
        <f t="shared" si="1"/>
        <v>1.0855739701492537</v>
      </c>
      <c r="K13" s="83" t="s">
        <v>218</v>
      </c>
      <c r="L13" s="106">
        <f>+B14</f>
        <v>19999.98</v>
      </c>
      <c r="M13" s="106">
        <f>+C14</f>
        <v>19999.98</v>
      </c>
      <c r="N13" s="106">
        <f>+L13-M13</f>
        <v>0</v>
      </c>
      <c r="O13" s="93"/>
      <c r="P13" s="93"/>
    </row>
    <row r="14" spans="1:16" x14ac:dyDescent="0.25">
      <c r="A14" s="3" t="s">
        <v>185</v>
      </c>
      <c r="B14" s="5">
        <f>19999.98</f>
        <v>19999.98</v>
      </c>
      <c r="C14" s="5">
        <f>19999.98</f>
        <v>19999.98</v>
      </c>
      <c r="D14" s="5">
        <f t="shared" si="0"/>
        <v>0</v>
      </c>
      <c r="E14" s="85">
        <f t="shared" si="1"/>
        <v>1</v>
      </c>
      <c r="H14" s="74"/>
      <c r="K14" s="105" t="s">
        <v>219</v>
      </c>
      <c r="L14" s="108">
        <f>+B16</f>
        <v>950.32</v>
      </c>
      <c r="M14" s="108">
        <v>0</v>
      </c>
      <c r="N14" s="108">
        <f>+L14-M14</f>
        <v>950.32</v>
      </c>
      <c r="O14" s="93"/>
      <c r="P14" s="93"/>
    </row>
    <row r="15" spans="1:16" x14ac:dyDescent="0.25">
      <c r="A15" s="3" t="s">
        <v>113</v>
      </c>
      <c r="B15" s="4">
        <f>((((B8)+(B9))+(B10))+(B13))+(B14)</f>
        <v>150029.02000000002</v>
      </c>
      <c r="C15" s="4">
        <f>((((C8)+(C9))+(C10))+(C13))+(C14)</f>
        <v>127249.98</v>
      </c>
      <c r="D15" s="4">
        <f t="shared" si="0"/>
        <v>22779.040000000023</v>
      </c>
      <c r="E15" s="86">
        <f t="shared" si="1"/>
        <v>1.1790101656597511</v>
      </c>
      <c r="K15" s="83"/>
      <c r="L15" s="106"/>
      <c r="M15" s="106"/>
      <c r="N15" s="106"/>
      <c r="O15" s="93"/>
      <c r="P15" s="93"/>
    </row>
    <row r="16" spans="1:16" x14ac:dyDescent="0.25">
      <c r="A16" s="3" t="s">
        <v>112</v>
      </c>
      <c r="B16" s="5">
        <f>950.32</f>
        <v>950.32</v>
      </c>
      <c r="C16" s="5">
        <f>0</f>
        <v>0</v>
      </c>
      <c r="D16" s="5">
        <f t="shared" si="0"/>
        <v>950.32</v>
      </c>
      <c r="E16" s="85" t="str">
        <f t="shared" si="1"/>
        <v/>
      </c>
      <c r="K16" s="83"/>
      <c r="L16" s="106"/>
      <c r="M16" s="106"/>
      <c r="N16" s="106"/>
      <c r="O16" s="93"/>
      <c r="P16" s="93"/>
    </row>
    <row r="17" spans="1:16" x14ac:dyDescent="0.25">
      <c r="A17" s="3" t="s">
        <v>111</v>
      </c>
      <c r="B17" s="4">
        <f>(B15)+(B16)</f>
        <v>150979.34000000003</v>
      </c>
      <c r="C17" s="4">
        <f>(C15)+(C16)</f>
        <v>127249.98</v>
      </c>
      <c r="D17" s="4">
        <f t="shared" si="0"/>
        <v>23729.36000000003</v>
      </c>
      <c r="E17" s="86">
        <f t="shared" si="1"/>
        <v>1.1864783004288098</v>
      </c>
      <c r="K17" s="83" t="s">
        <v>216</v>
      </c>
      <c r="L17" s="106">
        <f>+L9+L12+L13+L14+L10</f>
        <v>150979.34000000003</v>
      </c>
      <c r="M17" s="106">
        <f t="shared" ref="M17:N17" si="2">+M9+M12+M13+M14</f>
        <v>127249.98</v>
      </c>
      <c r="N17" s="106">
        <f t="shared" si="2"/>
        <v>23729.360000000008</v>
      </c>
      <c r="O17" s="93"/>
      <c r="P17" s="93"/>
    </row>
    <row r="18" spans="1:16" x14ac:dyDescent="0.25">
      <c r="A18" s="3" t="s">
        <v>110</v>
      </c>
      <c r="B18" s="4">
        <f>(B17)-(0)</f>
        <v>150979.34000000003</v>
      </c>
      <c r="C18" s="4">
        <f>(C17)-(0)</f>
        <v>127249.98</v>
      </c>
      <c r="D18" s="4">
        <f t="shared" si="0"/>
        <v>23729.36000000003</v>
      </c>
      <c r="E18" s="86">
        <f t="shared" si="1"/>
        <v>1.1864783004288098</v>
      </c>
      <c r="K18" s="83"/>
      <c r="L18" s="107"/>
      <c r="M18" s="107"/>
      <c r="N18" s="107"/>
      <c r="O18" s="93"/>
      <c r="P18" s="93"/>
    </row>
    <row r="19" spans="1:16" x14ac:dyDescent="0.25">
      <c r="A19" s="3" t="s">
        <v>109</v>
      </c>
      <c r="B19" s="2"/>
      <c r="C19" s="2"/>
      <c r="D19" s="2"/>
      <c r="E19" s="2"/>
      <c r="H19" s="74">
        <f>+D18</f>
        <v>23729.36000000003</v>
      </c>
      <c r="I19" t="s">
        <v>236</v>
      </c>
      <c r="K19" s="83" t="s">
        <v>220</v>
      </c>
      <c r="L19" s="108">
        <f>+B65</f>
        <v>168209.78000000003</v>
      </c>
      <c r="M19" s="108">
        <f>+C65</f>
        <v>147998.02000000002</v>
      </c>
      <c r="N19" s="108">
        <f>+M19-L19</f>
        <v>-20211.760000000009</v>
      </c>
      <c r="O19" s="93"/>
      <c r="P19" s="93"/>
    </row>
    <row r="20" spans="1:16" x14ac:dyDescent="0.25">
      <c r="A20" s="3" t="s">
        <v>179</v>
      </c>
      <c r="B20" s="5">
        <f>8269.64</f>
        <v>8269.64</v>
      </c>
      <c r="C20" s="5">
        <f>2500.02</f>
        <v>2500.02</v>
      </c>
      <c r="D20" s="5">
        <f t="shared" ref="D20:D66" si="3">(B20)-(C20)</f>
        <v>5769.619999999999</v>
      </c>
      <c r="E20" s="85">
        <f t="shared" ref="E20:E66" si="4">IF(C20=0,"",(B20)/(C20))</f>
        <v>3.307829537363701</v>
      </c>
      <c r="K20" s="83"/>
      <c r="L20" s="106"/>
      <c r="M20" s="106"/>
      <c r="N20" s="106"/>
      <c r="O20" s="93"/>
      <c r="P20" s="93"/>
    </row>
    <row r="21" spans="1:16" ht="15.75" thickBot="1" x14ac:dyDescent="0.3">
      <c r="A21" s="3" t="s">
        <v>186</v>
      </c>
      <c r="B21" s="2"/>
      <c r="C21" s="5">
        <f>6000</f>
        <v>6000</v>
      </c>
      <c r="D21" s="5">
        <f t="shared" si="3"/>
        <v>-6000</v>
      </c>
      <c r="E21" s="85">
        <f t="shared" si="4"/>
        <v>0</v>
      </c>
      <c r="K21" s="83" t="s">
        <v>221</v>
      </c>
      <c r="L21" s="109">
        <f>+L17-L19</f>
        <v>-17230.440000000002</v>
      </c>
      <c r="M21" s="109">
        <f t="shared" ref="M21" si="5">+M17-M19</f>
        <v>-20748.040000000023</v>
      </c>
      <c r="N21" s="109">
        <f>+N17+N19</f>
        <v>3517.5999999999985</v>
      </c>
      <c r="O21" s="93"/>
      <c r="P21" s="93"/>
    </row>
    <row r="22" spans="1:16" ht="15.75" thickTop="1" x14ac:dyDescent="0.25">
      <c r="A22" s="3" t="s">
        <v>205</v>
      </c>
      <c r="B22" s="2"/>
      <c r="C22" s="5">
        <f>1000.02</f>
        <v>1000.02</v>
      </c>
      <c r="D22" s="5">
        <f t="shared" si="3"/>
        <v>-1000.02</v>
      </c>
      <c r="E22" s="85">
        <f t="shared" si="4"/>
        <v>0</v>
      </c>
      <c r="L22" s="92"/>
      <c r="M22" s="92"/>
      <c r="N22" s="92"/>
      <c r="O22" s="93"/>
      <c r="P22" s="93"/>
    </row>
    <row r="23" spans="1:16" x14ac:dyDescent="0.25">
      <c r="A23" s="3" t="s">
        <v>108</v>
      </c>
      <c r="B23" s="5">
        <f>1063.61</f>
        <v>1063.6099999999999</v>
      </c>
      <c r="C23" s="5">
        <f>499.98</f>
        <v>499.98</v>
      </c>
      <c r="D23" s="5">
        <f t="shared" si="3"/>
        <v>563.62999999999988</v>
      </c>
      <c r="E23" s="85">
        <f t="shared" si="4"/>
        <v>2.127305092203688</v>
      </c>
      <c r="L23" s="92"/>
      <c r="M23" s="92"/>
      <c r="N23" s="92"/>
      <c r="O23" s="93"/>
      <c r="P23" s="93"/>
    </row>
    <row r="24" spans="1:16" x14ac:dyDescent="0.25">
      <c r="A24" s="3" t="s">
        <v>107</v>
      </c>
      <c r="B24" s="5">
        <f>600</f>
        <v>600</v>
      </c>
      <c r="C24" s="5">
        <f>600</f>
        <v>600</v>
      </c>
      <c r="D24" s="5">
        <f t="shared" si="3"/>
        <v>0</v>
      </c>
      <c r="E24" s="85">
        <f t="shared" si="4"/>
        <v>1</v>
      </c>
      <c r="F24" t="s">
        <v>200</v>
      </c>
      <c r="G24" s="76">
        <f>SUM(B20:B33)</f>
        <v>31654.67</v>
      </c>
      <c r="L24" s="95"/>
      <c r="M24" s="95"/>
      <c r="N24" s="92"/>
      <c r="O24" s="93"/>
      <c r="P24" s="93"/>
    </row>
    <row r="25" spans="1:16" x14ac:dyDescent="0.25">
      <c r="A25" s="3" t="s">
        <v>106</v>
      </c>
      <c r="B25" s="5">
        <f>5876</f>
        <v>5876</v>
      </c>
      <c r="C25" s="5">
        <f>1750.02</f>
        <v>1750.02</v>
      </c>
      <c r="D25" s="5">
        <f t="shared" si="3"/>
        <v>4125.9799999999996</v>
      </c>
      <c r="E25" s="85">
        <f t="shared" si="4"/>
        <v>3.3576759122752882</v>
      </c>
      <c r="F25" t="s">
        <v>201</v>
      </c>
      <c r="G25" s="76">
        <f>SUM(C20:C33)</f>
        <v>27950.100000000002</v>
      </c>
      <c r="L25" s="95"/>
      <c r="M25" s="95"/>
      <c r="N25" s="92"/>
      <c r="O25" s="93"/>
      <c r="P25" s="93"/>
    </row>
    <row r="26" spans="1:16" x14ac:dyDescent="0.25">
      <c r="A26" s="3" t="s">
        <v>213</v>
      </c>
      <c r="B26" s="5">
        <f>275.7</f>
        <v>275.7</v>
      </c>
      <c r="C26" s="5">
        <f>0</f>
        <v>0</v>
      </c>
      <c r="D26" s="5">
        <f t="shared" si="3"/>
        <v>275.7</v>
      </c>
      <c r="E26" s="85" t="str">
        <f t="shared" si="4"/>
        <v/>
      </c>
      <c r="G26" s="73">
        <f>+G25-G24</f>
        <v>-3704.5699999999961</v>
      </c>
      <c r="L26" s="95"/>
      <c r="M26" s="95"/>
      <c r="N26" s="92"/>
      <c r="O26" s="93"/>
      <c r="P26" s="93"/>
    </row>
    <row r="27" spans="1:16" x14ac:dyDescent="0.25">
      <c r="A27" s="3" t="s">
        <v>224</v>
      </c>
      <c r="B27" s="5">
        <f>700</f>
        <v>700</v>
      </c>
      <c r="C27" s="5">
        <f>0</f>
        <v>0</v>
      </c>
      <c r="D27" s="5">
        <f t="shared" si="3"/>
        <v>700</v>
      </c>
      <c r="E27" s="85" t="str">
        <f t="shared" si="4"/>
        <v/>
      </c>
      <c r="G27" s="73"/>
      <c r="L27" s="95"/>
      <c r="M27" s="95"/>
      <c r="N27" s="92"/>
      <c r="O27" s="93"/>
      <c r="P27" s="93"/>
    </row>
    <row r="28" spans="1:16" x14ac:dyDescent="0.25">
      <c r="A28" s="3" t="s">
        <v>105</v>
      </c>
      <c r="B28" s="5">
        <f>1547.85</f>
        <v>1547.85</v>
      </c>
      <c r="C28" s="5">
        <f>1249.98</f>
        <v>1249.98</v>
      </c>
      <c r="D28" s="5">
        <f t="shared" si="3"/>
        <v>297.86999999999989</v>
      </c>
      <c r="E28" s="85">
        <f t="shared" si="4"/>
        <v>1.2382998127970046</v>
      </c>
      <c r="G28" s="73"/>
      <c r="L28" s="95"/>
      <c r="M28" s="95"/>
      <c r="N28" s="92"/>
      <c r="O28" s="93"/>
      <c r="P28" s="93"/>
    </row>
    <row r="29" spans="1:16" x14ac:dyDescent="0.25">
      <c r="A29" s="3" t="s">
        <v>203</v>
      </c>
      <c r="B29" s="5">
        <f>13321.87</f>
        <v>13321.87</v>
      </c>
      <c r="C29" s="5">
        <f>13000.02</f>
        <v>13000.02</v>
      </c>
      <c r="D29" s="5">
        <f t="shared" si="3"/>
        <v>321.85000000000036</v>
      </c>
      <c r="E29" s="85">
        <f t="shared" si="4"/>
        <v>1.0247576542189936</v>
      </c>
      <c r="G29" s="75"/>
      <c r="H29" s="78">
        <f>+D20+D21+D22+D23+D24+D25+D26+D29+D30+D31+D32+D33+D28+D27</f>
        <v>3704.5699999999983</v>
      </c>
      <c r="I29" t="s">
        <v>222</v>
      </c>
      <c r="L29" s="95"/>
      <c r="M29" s="95"/>
      <c r="N29" s="92"/>
    </row>
    <row r="30" spans="1:16" x14ac:dyDescent="0.25">
      <c r="A30" s="3" t="s">
        <v>104</v>
      </c>
      <c r="B30" s="2"/>
      <c r="C30" s="5">
        <f>100.02</f>
        <v>100.02</v>
      </c>
      <c r="D30" s="5">
        <f t="shared" si="3"/>
        <v>-100.02</v>
      </c>
      <c r="E30" s="85">
        <f t="shared" si="4"/>
        <v>0</v>
      </c>
      <c r="L30" s="95"/>
      <c r="M30" s="95"/>
      <c r="N30" s="92"/>
    </row>
    <row r="31" spans="1:16" x14ac:dyDescent="0.25">
      <c r="A31" s="3" t="s">
        <v>103</v>
      </c>
      <c r="B31" s="2"/>
      <c r="C31" s="5">
        <f>1000.02</f>
        <v>1000.02</v>
      </c>
      <c r="D31" s="5">
        <f t="shared" si="3"/>
        <v>-1000.02</v>
      </c>
      <c r="E31" s="85">
        <f t="shared" si="4"/>
        <v>0</v>
      </c>
      <c r="L31" s="95"/>
      <c r="M31" s="95"/>
      <c r="N31" s="92"/>
    </row>
    <row r="32" spans="1:16" x14ac:dyDescent="0.25">
      <c r="A32" s="3" t="s">
        <v>102</v>
      </c>
      <c r="B32" s="2"/>
      <c r="C32" s="5">
        <f>250.02</f>
        <v>250.02</v>
      </c>
      <c r="D32" s="5">
        <f t="shared" si="3"/>
        <v>-250.02</v>
      </c>
      <c r="E32" s="85">
        <f t="shared" si="4"/>
        <v>0</v>
      </c>
      <c r="L32" s="95"/>
      <c r="M32" s="95"/>
      <c r="N32" s="92"/>
    </row>
    <row r="33" spans="1:12" x14ac:dyDescent="0.25">
      <c r="A33" s="3" t="s">
        <v>101</v>
      </c>
      <c r="B33" s="2"/>
      <c r="C33" s="5">
        <f>0</f>
        <v>0</v>
      </c>
      <c r="D33" s="5">
        <f t="shared" si="3"/>
        <v>0</v>
      </c>
      <c r="E33" s="85" t="str">
        <f t="shared" si="4"/>
        <v/>
      </c>
      <c r="G33" t="s">
        <v>209</v>
      </c>
    </row>
    <row r="34" spans="1:12" x14ac:dyDescent="0.25">
      <c r="A34" s="3" t="s">
        <v>100</v>
      </c>
      <c r="B34" s="5">
        <f>16058.75</f>
        <v>16058.75</v>
      </c>
      <c r="C34" s="5">
        <f>1800</f>
        <v>1800</v>
      </c>
      <c r="D34" s="5">
        <f t="shared" si="3"/>
        <v>14258.75</v>
      </c>
      <c r="E34" s="85">
        <f t="shared" si="4"/>
        <v>8.9215277777777775</v>
      </c>
      <c r="F34" t="s">
        <v>200</v>
      </c>
      <c r="G34" s="78">
        <f>SUM(B34:B37)</f>
        <v>88692.290000000008</v>
      </c>
    </row>
    <row r="35" spans="1:12" x14ac:dyDescent="0.25">
      <c r="A35" s="3" t="s">
        <v>99</v>
      </c>
      <c r="B35" s="5">
        <f>65912.67</f>
        <v>65912.67</v>
      </c>
      <c r="C35" s="5">
        <f>77952.69</f>
        <v>77952.69</v>
      </c>
      <c r="D35" s="5">
        <f t="shared" si="3"/>
        <v>-12040.020000000004</v>
      </c>
      <c r="E35" s="85">
        <f t="shared" si="4"/>
        <v>0.84554708759890129</v>
      </c>
      <c r="F35" t="s">
        <v>201</v>
      </c>
      <c r="G35" s="78">
        <f>SUM(C34:C38)</f>
        <v>91047.94</v>
      </c>
      <c r="H35" s="76"/>
      <c r="L35" s="95"/>
    </row>
    <row r="36" spans="1:12" x14ac:dyDescent="0.25">
      <c r="A36" s="3" t="s">
        <v>98</v>
      </c>
      <c r="B36" s="5">
        <f>521.27</f>
        <v>521.27</v>
      </c>
      <c r="C36" s="5">
        <f>499.98</f>
        <v>499.98</v>
      </c>
      <c r="D36" s="5">
        <f t="shared" si="3"/>
        <v>21.289999999999964</v>
      </c>
      <c r="E36" s="85">
        <f t="shared" si="4"/>
        <v>1.0425817032681306</v>
      </c>
      <c r="G36" s="78">
        <f>+G34-G35</f>
        <v>-2355.6499999999942</v>
      </c>
      <c r="H36" s="79">
        <f>+G36</f>
        <v>-2355.6499999999942</v>
      </c>
      <c r="I36" t="s">
        <v>196</v>
      </c>
      <c r="L36" s="95"/>
    </row>
    <row r="37" spans="1:12" x14ac:dyDescent="0.25">
      <c r="A37" s="3" t="s">
        <v>97</v>
      </c>
      <c r="B37" s="5">
        <f>6199.6</f>
        <v>6199.6</v>
      </c>
      <c r="C37" s="5">
        <f>7795.27</f>
        <v>7795.27</v>
      </c>
      <c r="D37" s="5">
        <f t="shared" si="3"/>
        <v>-1595.67</v>
      </c>
      <c r="E37" s="85">
        <f t="shared" si="4"/>
        <v>0.79530279259089165</v>
      </c>
      <c r="F37">
        <f>250*4</f>
        <v>1000</v>
      </c>
      <c r="G37" s="78"/>
    </row>
    <row r="38" spans="1:12" x14ac:dyDescent="0.25">
      <c r="A38" s="3" t="s">
        <v>230</v>
      </c>
      <c r="B38" s="2"/>
      <c r="C38" s="5">
        <f>3000</f>
        <v>3000</v>
      </c>
      <c r="D38" s="5">
        <f t="shared" si="3"/>
        <v>-3000</v>
      </c>
      <c r="E38" s="85">
        <f t="shared" si="4"/>
        <v>0</v>
      </c>
      <c r="G38" s="78"/>
    </row>
    <row r="39" spans="1:12" x14ac:dyDescent="0.25">
      <c r="A39" s="3" t="s">
        <v>96</v>
      </c>
      <c r="B39" s="4">
        <f>(((((B33)+(B34))+(B35))+(B36))+(B37))+(B38)</f>
        <v>88692.290000000008</v>
      </c>
      <c r="C39" s="4">
        <f>(((((C33)+(C34))+(C35))+(C36))+(C37))+(C38)</f>
        <v>91047.94</v>
      </c>
      <c r="D39" s="4">
        <f t="shared" si="3"/>
        <v>-2355.6499999999942</v>
      </c>
      <c r="E39" s="86">
        <f t="shared" si="4"/>
        <v>0.97412736630834273</v>
      </c>
      <c r="L39" s="95"/>
    </row>
    <row r="40" spans="1:12" x14ac:dyDescent="0.25">
      <c r="A40" s="3" t="s">
        <v>95</v>
      </c>
      <c r="B40" s="2"/>
      <c r="C40" s="5">
        <f>0</f>
        <v>0</v>
      </c>
      <c r="D40" s="5">
        <f t="shared" si="3"/>
        <v>0</v>
      </c>
      <c r="E40" s="85" t="str">
        <f t="shared" si="4"/>
        <v/>
      </c>
    </row>
    <row r="41" spans="1:12" x14ac:dyDescent="0.25">
      <c r="A41" s="3" t="s">
        <v>94</v>
      </c>
      <c r="B41" s="5">
        <f>13200</f>
        <v>13200</v>
      </c>
      <c r="C41" s="5">
        <f>13200</f>
        <v>13200</v>
      </c>
      <c r="D41" s="5">
        <f t="shared" si="3"/>
        <v>0</v>
      </c>
      <c r="E41" s="85">
        <f t="shared" si="4"/>
        <v>1</v>
      </c>
      <c r="L41" s="95"/>
    </row>
    <row r="42" spans="1:12" x14ac:dyDescent="0.25">
      <c r="A42" s="3" t="s">
        <v>93</v>
      </c>
      <c r="B42" s="5">
        <f>10350</f>
        <v>10350</v>
      </c>
      <c r="C42" s="5">
        <f>2000</f>
        <v>2000</v>
      </c>
      <c r="D42" s="5">
        <f t="shared" si="3"/>
        <v>8350</v>
      </c>
      <c r="E42" s="85">
        <f t="shared" si="4"/>
        <v>5.1749999999999998</v>
      </c>
      <c r="L42" s="95"/>
    </row>
    <row r="43" spans="1:12" x14ac:dyDescent="0.25">
      <c r="A43" s="3" t="s">
        <v>92</v>
      </c>
      <c r="B43" s="2"/>
      <c r="C43" s="5">
        <f>499.98</f>
        <v>499.98</v>
      </c>
      <c r="D43" s="5">
        <f t="shared" si="3"/>
        <v>-499.98</v>
      </c>
      <c r="E43" s="85">
        <f t="shared" si="4"/>
        <v>0</v>
      </c>
    </row>
    <row r="44" spans="1:12" x14ac:dyDescent="0.25">
      <c r="A44" s="3" t="s">
        <v>91</v>
      </c>
      <c r="B44" s="4">
        <f>(((B40)+(B41))+(B42))+(B43)</f>
        <v>23550</v>
      </c>
      <c r="C44" s="4">
        <f>(((C40)+(C41))+(C42))+(C43)</f>
        <v>15699.98</v>
      </c>
      <c r="D44" s="4">
        <f t="shared" si="3"/>
        <v>7850.02</v>
      </c>
      <c r="E44" s="86">
        <f t="shared" si="4"/>
        <v>1.5000019108304596</v>
      </c>
      <c r="L44" s="95"/>
    </row>
    <row r="45" spans="1:12" x14ac:dyDescent="0.25">
      <c r="A45" s="3" t="s">
        <v>90</v>
      </c>
      <c r="B45" s="2"/>
      <c r="C45" s="5">
        <f>0</f>
        <v>0</v>
      </c>
      <c r="D45" s="5">
        <f t="shared" si="3"/>
        <v>0</v>
      </c>
      <c r="E45" s="85" t="str">
        <f t="shared" si="4"/>
        <v/>
      </c>
      <c r="H45" s="74">
        <f>+D44</f>
        <v>7850.02</v>
      </c>
      <c r="I45" t="s">
        <v>222</v>
      </c>
    </row>
    <row r="46" spans="1:12" x14ac:dyDescent="0.25">
      <c r="A46" s="3" t="s">
        <v>89</v>
      </c>
      <c r="B46" s="5">
        <f>0</f>
        <v>0</v>
      </c>
      <c r="C46" s="5">
        <f>0</f>
        <v>0</v>
      </c>
      <c r="D46" s="5">
        <f t="shared" si="3"/>
        <v>0</v>
      </c>
      <c r="E46" s="85" t="str">
        <f t="shared" si="4"/>
        <v/>
      </c>
    </row>
    <row r="47" spans="1:12" x14ac:dyDescent="0.25">
      <c r="A47" s="3" t="s">
        <v>88</v>
      </c>
      <c r="B47" s="5">
        <f>7872.56</f>
        <v>7872.56</v>
      </c>
      <c r="C47" s="5">
        <f>8200</f>
        <v>8200</v>
      </c>
      <c r="D47" s="5">
        <f t="shared" si="3"/>
        <v>-327.4399999999996</v>
      </c>
      <c r="E47" s="85">
        <f t="shared" si="4"/>
        <v>0.96006829268292693</v>
      </c>
      <c r="L47" s="69"/>
    </row>
    <row r="48" spans="1:12" x14ac:dyDescent="0.25">
      <c r="A48" s="3" t="s">
        <v>87</v>
      </c>
      <c r="B48" s="4">
        <f>((B45)+(B46))+(B47)</f>
        <v>7872.56</v>
      </c>
      <c r="C48" s="4">
        <f>((C45)+(C46))+(C47)</f>
        <v>8200</v>
      </c>
      <c r="D48" s="4">
        <f t="shared" si="3"/>
        <v>-327.4399999999996</v>
      </c>
      <c r="E48" s="86">
        <f t="shared" si="4"/>
        <v>0.96006829268292693</v>
      </c>
    </row>
    <row r="49" spans="1:12" x14ac:dyDescent="0.25">
      <c r="A49" s="3" t="s">
        <v>86</v>
      </c>
      <c r="B49" s="2"/>
      <c r="C49" s="5">
        <f>0</f>
        <v>0</v>
      </c>
      <c r="D49" s="5">
        <f t="shared" si="3"/>
        <v>0</v>
      </c>
      <c r="E49" s="85" t="str">
        <f t="shared" si="4"/>
        <v/>
      </c>
      <c r="H49" s="74">
        <f>+D48</f>
        <v>-327.4399999999996</v>
      </c>
      <c r="I49" t="s">
        <v>222</v>
      </c>
    </row>
    <row r="50" spans="1:12" x14ac:dyDescent="0.25">
      <c r="A50" s="3" t="s">
        <v>85</v>
      </c>
      <c r="B50" s="5">
        <f>691.36</f>
        <v>691.36</v>
      </c>
      <c r="C50" s="5">
        <f>499.98</f>
        <v>499.98</v>
      </c>
      <c r="D50" s="5">
        <f t="shared" si="3"/>
        <v>191.38</v>
      </c>
      <c r="E50" s="85">
        <f t="shared" si="4"/>
        <v>1.3827753110124406</v>
      </c>
    </row>
    <row r="51" spans="1:12" x14ac:dyDescent="0.25">
      <c r="A51" s="3" t="s">
        <v>84</v>
      </c>
      <c r="B51" s="5">
        <f>164.66</f>
        <v>164.66</v>
      </c>
      <c r="C51" s="5">
        <f>250.02</f>
        <v>250.02</v>
      </c>
      <c r="D51" s="5">
        <f t="shared" si="3"/>
        <v>-85.360000000000014</v>
      </c>
      <c r="E51" s="85">
        <f t="shared" si="4"/>
        <v>0.65858731301495876</v>
      </c>
    </row>
    <row r="52" spans="1:12" x14ac:dyDescent="0.25">
      <c r="A52" s="3" t="s">
        <v>83</v>
      </c>
      <c r="B52" s="2"/>
      <c r="C52" s="5">
        <f>499.98</f>
        <v>499.98</v>
      </c>
      <c r="D52" s="5">
        <f t="shared" si="3"/>
        <v>-499.98</v>
      </c>
      <c r="E52" s="85">
        <f t="shared" si="4"/>
        <v>0</v>
      </c>
    </row>
    <row r="53" spans="1:12" x14ac:dyDescent="0.25">
      <c r="A53" s="3" t="s">
        <v>82</v>
      </c>
      <c r="B53" s="5">
        <f>1366.98</f>
        <v>1366.98</v>
      </c>
      <c r="C53" s="5">
        <f>1000.02</f>
        <v>1000.02</v>
      </c>
      <c r="D53" s="5">
        <f t="shared" si="3"/>
        <v>366.96000000000004</v>
      </c>
      <c r="E53" s="85">
        <f t="shared" si="4"/>
        <v>1.366952660946781</v>
      </c>
    </row>
    <row r="54" spans="1:12" x14ac:dyDescent="0.25">
      <c r="A54" s="3" t="s">
        <v>81</v>
      </c>
      <c r="B54" s="2"/>
      <c r="C54" s="5">
        <f>150</f>
        <v>150</v>
      </c>
      <c r="D54" s="5">
        <f t="shared" si="3"/>
        <v>-150</v>
      </c>
      <c r="E54" s="85">
        <f t="shared" si="4"/>
        <v>0</v>
      </c>
    </row>
    <row r="55" spans="1:12" x14ac:dyDescent="0.25">
      <c r="A55" s="3" t="s">
        <v>80</v>
      </c>
      <c r="B55" s="5">
        <f>809.94</f>
        <v>809.94</v>
      </c>
      <c r="C55" s="5">
        <f>900</f>
        <v>900</v>
      </c>
      <c r="D55" s="5">
        <f t="shared" si="3"/>
        <v>-90.059999999999945</v>
      </c>
      <c r="E55" s="85">
        <f t="shared" si="4"/>
        <v>0.89993333333333336</v>
      </c>
    </row>
    <row r="56" spans="1:12" x14ac:dyDescent="0.25">
      <c r="A56" s="3" t="s">
        <v>79</v>
      </c>
      <c r="B56" s="4">
        <f>((((((B49)+(B50))+(B51))+(B52))+(B53))+(B54))+(B55)</f>
        <v>3032.94</v>
      </c>
      <c r="C56" s="4">
        <f>((((((C49)+(C50))+(C51))+(C52))+(C53))+(C54))+(C55)</f>
        <v>3300</v>
      </c>
      <c r="D56" s="4">
        <f t="shared" si="3"/>
        <v>-267.05999999999995</v>
      </c>
      <c r="E56" s="86">
        <f t="shared" si="4"/>
        <v>0.91907272727272726</v>
      </c>
      <c r="H56" s="74">
        <f>+D56</f>
        <v>-267.05999999999995</v>
      </c>
      <c r="I56" t="s">
        <v>196</v>
      </c>
    </row>
    <row r="57" spans="1:12" x14ac:dyDescent="0.25">
      <c r="A57" s="3" t="s">
        <v>78</v>
      </c>
      <c r="B57" s="2"/>
      <c r="C57" s="5">
        <f>0</f>
        <v>0</v>
      </c>
      <c r="D57" s="5">
        <f t="shared" si="3"/>
        <v>0</v>
      </c>
      <c r="E57" s="85" t="str">
        <f t="shared" si="4"/>
        <v/>
      </c>
    </row>
    <row r="58" spans="1:12" x14ac:dyDescent="0.25">
      <c r="A58" s="3" t="s">
        <v>187</v>
      </c>
      <c r="B58" s="5">
        <f>80</f>
        <v>80</v>
      </c>
      <c r="C58" s="5">
        <f>124.98</f>
        <v>124.98</v>
      </c>
      <c r="D58" s="5">
        <f t="shared" si="3"/>
        <v>-44.980000000000004</v>
      </c>
      <c r="E58" s="85">
        <f t="shared" si="4"/>
        <v>0.6401024163866218</v>
      </c>
    </row>
    <row r="59" spans="1:12" x14ac:dyDescent="0.25">
      <c r="A59" s="3" t="s">
        <v>77</v>
      </c>
      <c r="B59" s="5">
        <f>1384.48</f>
        <v>1384.48</v>
      </c>
      <c r="C59" s="5">
        <f>1500</f>
        <v>1500</v>
      </c>
      <c r="D59" s="5">
        <f t="shared" si="3"/>
        <v>-115.51999999999998</v>
      </c>
      <c r="E59" s="85">
        <f t="shared" si="4"/>
        <v>0.92298666666666673</v>
      </c>
    </row>
    <row r="60" spans="1:12" x14ac:dyDescent="0.25">
      <c r="A60" s="3" t="s">
        <v>76</v>
      </c>
      <c r="B60" s="2"/>
      <c r="C60" s="5">
        <f>100.02</f>
        <v>100.02</v>
      </c>
      <c r="D60" s="5">
        <f t="shared" si="3"/>
        <v>-100.02</v>
      </c>
      <c r="E60" s="85">
        <f t="shared" si="4"/>
        <v>0</v>
      </c>
    </row>
    <row r="61" spans="1:12" x14ac:dyDescent="0.25">
      <c r="A61" s="3" t="s">
        <v>75</v>
      </c>
      <c r="B61" s="5">
        <f>42.84</f>
        <v>42.84</v>
      </c>
      <c r="C61" s="5">
        <f>75</f>
        <v>75</v>
      </c>
      <c r="D61" s="5">
        <f t="shared" si="3"/>
        <v>-32.159999999999997</v>
      </c>
      <c r="E61" s="85">
        <f t="shared" si="4"/>
        <v>0.57120000000000004</v>
      </c>
    </row>
    <row r="62" spans="1:12" x14ac:dyDescent="0.25">
      <c r="A62" s="3" t="s">
        <v>74</v>
      </c>
      <c r="B62" s="4">
        <f>((((B57)+(B58))+(B59))+(B60))+(B61)</f>
        <v>1507.32</v>
      </c>
      <c r="C62" s="4">
        <f>((((C57)+(C58))+(C59))+(C60))+(C61)</f>
        <v>1800</v>
      </c>
      <c r="D62" s="4">
        <f t="shared" si="3"/>
        <v>-292.68000000000006</v>
      </c>
      <c r="E62" s="86">
        <f t="shared" si="4"/>
        <v>0.83739999999999992</v>
      </c>
    </row>
    <row r="63" spans="1:12" x14ac:dyDescent="0.25">
      <c r="A63" s="3" t="s">
        <v>225</v>
      </c>
      <c r="B63" s="2"/>
      <c r="C63" s="5">
        <f>0</f>
        <v>0</v>
      </c>
      <c r="D63" s="5">
        <f t="shared" si="3"/>
        <v>0</v>
      </c>
      <c r="E63" s="85" t="str">
        <f t="shared" si="4"/>
        <v/>
      </c>
    </row>
    <row r="64" spans="1:12" x14ac:dyDescent="0.25">
      <c r="A64" s="3" t="s">
        <v>188</v>
      </c>
      <c r="B64" s="5">
        <f>11900</f>
        <v>11900</v>
      </c>
      <c r="C64" s="5">
        <f>0</f>
        <v>0</v>
      </c>
      <c r="D64" s="5">
        <f t="shared" si="3"/>
        <v>11900</v>
      </c>
      <c r="E64" s="85" t="str">
        <f t="shared" si="4"/>
        <v/>
      </c>
      <c r="H64" s="74">
        <f>+D64</f>
        <v>11900</v>
      </c>
      <c r="I64" t="s">
        <v>197</v>
      </c>
      <c r="L64" s="75"/>
    </row>
    <row r="65" spans="1:12" x14ac:dyDescent="0.25">
      <c r="A65" s="3" t="s">
        <v>73</v>
      </c>
      <c r="B65" s="4">
        <f>(((((((((((((((((((B20)+(B21))+(B22))+(B23))+(B24))+(B25))+(B26))+(B27))+(B28))+(B29))+(B30))+(B31))+(B32))+(B39))+(B44))+(B48))+(B56))+(B62))+(B63))+(B64)</f>
        <v>168209.78000000003</v>
      </c>
      <c r="C65" s="4">
        <f>(((((((((((((((((((C20)+(C21))+(C22))+(C23))+(C24))+(C25))+(C26))+(C27))+(C28))+(C29))+(C30))+(C31))+(C32))+(C39))+(C44))+(C48))+(C56))+(C62))+(C63))+(C64)</f>
        <v>147998.02000000002</v>
      </c>
      <c r="D65" s="4">
        <f t="shared" si="3"/>
        <v>20211.760000000009</v>
      </c>
      <c r="E65" s="86">
        <f t="shared" si="4"/>
        <v>1.1365677730012875</v>
      </c>
      <c r="H65" s="76">
        <f>+D65</f>
        <v>20211.760000000009</v>
      </c>
      <c r="L65" s="73"/>
    </row>
    <row r="66" spans="1:12" x14ac:dyDescent="0.25">
      <c r="A66" s="3" t="s">
        <v>72</v>
      </c>
      <c r="B66" s="4">
        <f>(B18)-(B65)</f>
        <v>-17230.440000000002</v>
      </c>
      <c r="C66" s="4">
        <f>(C18)-(C65)</f>
        <v>-20748.040000000023</v>
      </c>
      <c r="D66" s="4">
        <f t="shared" si="3"/>
        <v>3517.6000000000204</v>
      </c>
      <c r="E66" s="86">
        <f t="shared" si="4"/>
        <v>0.83046109415636293</v>
      </c>
    </row>
    <row r="67" spans="1:12" x14ac:dyDescent="0.25">
      <c r="A67" s="3" t="s">
        <v>71</v>
      </c>
      <c r="B67" s="2"/>
      <c r="C67" s="2"/>
      <c r="D67" s="2"/>
      <c r="E67" s="2"/>
      <c r="H67" s="78"/>
      <c r="I67" s="75"/>
      <c r="J67" s="75"/>
    </row>
    <row r="68" spans="1:12" x14ac:dyDescent="0.25">
      <c r="A68" s="3" t="s">
        <v>70</v>
      </c>
      <c r="B68" s="5">
        <f>1392260.1</f>
        <v>1392260.1</v>
      </c>
      <c r="C68" s="5">
        <f>0</f>
        <v>0</v>
      </c>
      <c r="D68" s="5">
        <f t="shared" ref="D68:D75" si="6">(B68)-(C68)</f>
        <v>1392260.1</v>
      </c>
      <c r="E68" s="85" t="str">
        <f t="shared" ref="E68:E75" si="7">IF(C68=0,"",(B68)/(C68))</f>
        <v/>
      </c>
      <c r="G68" s="83" t="s">
        <v>211</v>
      </c>
      <c r="H68" s="74">
        <f>+H19</f>
        <v>23729.36000000003</v>
      </c>
      <c r="I68" s="75"/>
      <c r="J68" s="75"/>
    </row>
    <row r="69" spans="1:12" x14ac:dyDescent="0.25">
      <c r="A69" s="3" t="s">
        <v>69</v>
      </c>
      <c r="B69" s="2"/>
      <c r="C69" s="5">
        <f>0</f>
        <v>0</v>
      </c>
      <c r="D69" s="5">
        <f t="shared" si="6"/>
        <v>0</v>
      </c>
      <c r="E69" s="85" t="str">
        <f t="shared" si="7"/>
        <v/>
      </c>
      <c r="G69" s="83" t="s">
        <v>237</v>
      </c>
      <c r="H69" s="75">
        <f>-H65</f>
        <v>-20211.760000000009</v>
      </c>
      <c r="I69" s="75"/>
      <c r="J69" s="75"/>
    </row>
    <row r="70" spans="1:12" ht="15.75" thickBot="1" x14ac:dyDescent="0.3">
      <c r="A70" s="3" t="s">
        <v>68</v>
      </c>
      <c r="B70" s="5">
        <f>199876.77</f>
        <v>199876.77</v>
      </c>
      <c r="C70" s="5">
        <f>0</f>
        <v>0</v>
      </c>
      <c r="D70" s="5">
        <f t="shared" si="6"/>
        <v>199876.77</v>
      </c>
      <c r="E70" s="85" t="str">
        <f t="shared" si="7"/>
        <v/>
      </c>
      <c r="H70" s="82">
        <f>+H68+H69</f>
        <v>3517.6000000000204</v>
      </c>
      <c r="I70" s="75"/>
      <c r="J70" s="75"/>
    </row>
    <row r="71" spans="1:12" ht="15.75" thickTop="1" x14ac:dyDescent="0.25">
      <c r="A71" s="3" t="s">
        <v>177</v>
      </c>
      <c r="B71" s="5">
        <f>0</f>
        <v>0</v>
      </c>
      <c r="C71" s="5">
        <f>0</f>
        <v>0</v>
      </c>
      <c r="D71" s="5">
        <f t="shared" si="6"/>
        <v>0</v>
      </c>
      <c r="E71" s="85" t="str">
        <f t="shared" si="7"/>
        <v/>
      </c>
      <c r="H71" s="78"/>
      <c r="I71" s="75"/>
      <c r="J71" s="75"/>
    </row>
    <row r="72" spans="1:12" x14ac:dyDescent="0.25">
      <c r="A72" s="3" t="s">
        <v>67</v>
      </c>
      <c r="B72" s="5">
        <f>247865.03</f>
        <v>247865.03</v>
      </c>
      <c r="C72" s="5">
        <f>0</f>
        <v>0</v>
      </c>
      <c r="D72" s="5">
        <f t="shared" si="6"/>
        <v>247865.03</v>
      </c>
      <c r="E72" s="85" t="str">
        <f t="shared" si="7"/>
        <v/>
      </c>
      <c r="H72" s="78">
        <f>+H70-D67</f>
        <v>3517.6000000000204</v>
      </c>
      <c r="I72" s="75"/>
      <c r="J72" s="75"/>
    </row>
    <row r="73" spans="1:12" x14ac:dyDescent="0.25">
      <c r="A73" s="3" t="s">
        <v>66</v>
      </c>
      <c r="B73" s="5">
        <f>-60896.44</f>
        <v>-60896.44</v>
      </c>
      <c r="C73" s="5">
        <f>0</f>
        <v>0</v>
      </c>
      <c r="D73" s="5">
        <f t="shared" si="6"/>
        <v>-60896.44</v>
      </c>
      <c r="E73" s="85" t="str">
        <f t="shared" si="7"/>
        <v/>
      </c>
      <c r="H73" s="78"/>
      <c r="I73" s="75"/>
      <c r="J73" s="75"/>
    </row>
    <row r="74" spans="1:12" x14ac:dyDescent="0.25">
      <c r="A74" s="3" t="s">
        <v>65</v>
      </c>
      <c r="B74" s="4">
        <f>((((B69)+(B70))+(B71))+(B72))+(B73)</f>
        <v>386845.36</v>
      </c>
      <c r="C74" s="4">
        <f>((((C69)+(C70))+(C71))+(C72))+(C73)</f>
        <v>0</v>
      </c>
      <c r="D74" s="4">
        <f t="shared" si="6"/>
        <v>386845.36</v>
      </c>
      <c r="E74" s="86" t="str">
        <f t="shared" si="7"/>
        <v/>
      </c>
      <c r="H74" s="78"/>
      <c r="I74" s="75"/>
      <c r="J74" s="75"/>
    </row>
    <row r="75" spans="1:12" x14ac:dyDescent="0.25">
      <c r="A75" s="3" t="s">
        <v>64</v>
      </c>
      <c r="B75" s="4">
        <f>(B68)+(B74)</f>
        <v>1779105.46</v>
      </c>
      <c r="C75" s="4">
        <f>(C68)+(C74)</f>
        <v>0</v>
      </c>
      <c r="D75" s="4">
        <f t="shared" si="6"/>
        <v>1779105.46</v>
      </c>
      <c r="E75" s="86" t="str">
        <f t="shared" si="7"/>
        <v/>
      </c>
      <c r="H75" s="78"/>
      <c r="I75" s="75"/>
      <c r="J75" s="75"/>
    </row>
    <row r="76" spans="1:12" x14ac:dyDescent="0.25">
      <c r="A76" s="3" t="s">
        <v>63</v>
      </c>
      <c r="B76" s="2"/>
      <c r="C76" s="2"/>
      <c r="D76" s="2"/>
      <c r="E76" s="2"/>
      <c r="H76" s="78"/>
      <c r="I76" s="75"/>
      <c r="J76" s="75"/>
    </row>
    <row r="77" spans="1:12" x14ac:dyDescent="0.25">
      <c r="A77" s="3" t="s">
        <v>62</v>
      </c>
      <c r="B77" s="5">
        <f>1221221.9</f>
        <v>1221221.8999999999</v>
      </c>
      <c r="C77" s="5">
        <f>0</f>
        <v>0</v>
      </c>
      <c r="D77" s="5">
        <f>(B77)-(C77)</f>
        <v>1221221.8999999999</v>
      </c>
      <c r="E77" s="85" t="str">
        <f>IF(C77=0,"",(B77)/(C77))</f>
        <v/>
      </c>
      <c r="H77" s="78"/>
      <c r="I77" s="75"/>
      <c r="J77" s="75"/>
    </row>
    <row r="78" spans="1:12" x14ac:dyDescent="0.25">
      <c r="A78" s="3" t="s">
        <v>61</v>
      </c>
      <c r="B78" s="4">
        <f>B77</f>
        <v>1221221.8999999999</v>
      </c>
      <c r="C78" s="4">
        <f>C77</f>
        <v>0</v>
      </c>
      <c r="D78" s="4">
        <f>(B78)-(C78)</f>
        <v>1221221.8999999999</v>
      </c>
      <c r="E78" s="86" t="str">
        <f>IF(C78=0,"",(B78)/(C78))</f>
        <v/>
      </c>
    </row>
    <row r="79" spans="1:12" x14ac:dyDescent="0.25">
      <c r="A79" s="3" t="s">
        <v>60</v>
      </c>
      <c r="B79" s="4">
        <f>(B75)-(B78)</f>
        <v>557883.56000000006</v>
      </c>
      <c r="C79" s="4">
        <f>(C75)-(C78)</f>
        <v>0</v>
      </c>
      <c r="D79" s="4">
        <f>(B79)-(C79)</f>
        <v>557883.56000000006</v>
      </c>
      <c r="E79" s="86" t="str">
        <f>IF(C79=0,"",(B79)/(C79))</f>
        <v/>
      </c>
      <c r="F79" s="75"/>
    </row>
    <row r="80" spans="1:12" x14ac:dyDescent="0.25">
      <c r="A80" s="3" t="s">
        <v>59</v>
      </c>
      <c r="B80" s="4">
        <f>(B66)+(B79)</f>
        <v>540653.12000000011</v>
      </c>
      <c r="C80" s="4">
        <f>(C66)+(C79)</f>
        <v>-20748.040000000023</v>
      </c>
      <c r="D80" s="4">
        <f>(B80)-(C80)</f>
        <v>561401.16000000015</v>
      </c>
      <c r="E80" s="86">
        <f>IF(C80=0,"",(B80)/(C80))</f>
        <v>-26.05803343351948</v>
      </c>
    </row>
    <row r="81" spans="1:8" x14ac:dyDescent="0.25">
      <c r="A81" s="3"/>
      <c r="B81" s="88"/>
      <c r="C81" s="88"/>
      <c r="D81" s="88"/>
      <c r="E81" s="2"/>
      <c r="H81" s="75"/>
    </row>
    <row r="82" spans="1:8" x14ac:dyDescent="0.25">
      <c r="A82" s="90" t="s">
        <v>58</v>
      </c>
      <c r="B82" s="90"/>
      <c r="C82" s="90"/>
      <c r="D82" s="90"/>
      <c r="E82" s="90"/>
    </row>
    <row r="83" spans="1:8" x14ac:dyDescent="0.25">
      <c r="B83" s="78"/>
      <c r="C83" s="78"/>
      <c r="D83" s="78"/>
    </row>
    <row r="84" spans="1:8" x14ac:dyDescent="0.25">
      <c r="A84" s="123" t="s">
        <v>226</v>
      </c>
      <c r="B84" s="119"/>
      <c r="C84" s="119"/>
      <c r="D84" s="119"/>
      <c r="E84" s="119"/>
    </row>
    <row r="85" spans="1:8" x14ac:dyDescent="0.25">
      <c r="B85" s="78"/>
      <c r="C85" s="78"/>
      <c r="D85" s="78"/>
    </row>
  </sheetData>
  <mergeCells count="7">
    <mergeCell ref="A84:E84"/>
    <mergeCell ref="K6:N6"/>
    <mergeCell ref="K5:N5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70"/>
  <sheetViews>
    <sheetView topLeftCell="A56" workbookViewId="0">
      <selection activeCell="L66" sqref="L66"/>
    </sheetView>
  </sheetViews>
  <sheetFormatPr defaultRowHeight="15" x14ac:dyDescent="0.25"/>
  <cols>
    <col min="1" max="1" width="40.42578125" customWidth="1"/>
    <col min="2" max="2" width="11.140625" hidden="1" customWidth="1"/>
    <col min="3" max="3" width="11.140625" customWidth="1"/>
    <col min="4" max="5" width="10.28515625" hidden="1" customWidth="1"/>
    <col min="6" max="6" width="12" hidden="1" customWidth="1"/>
    <col min="7" max="7" width="11.140625" hidden="1" customWidth="1"/>
    <col min="8" max="8" width="8.5703125" hidden="1" customWidth="1"/>
    <col min="9" max="10" width="11.140625" hidden="1" customWidth="1"/>
    <col min="11" max="11" width="11.140625" customWidth="1"/>
    <col min="12" max="12" width="11.7109375" bestFit="1" customWidth="1"/>
  </cols>
  <sheetData>
    <row r="1" spans="1:12" ht="18" x14ac:dyDescent="0.25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8" x14ac:dyDescent="0.25">
      <c r="A2" s="118" t="s">
        <v>231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x14ac:dyDescent="0.25">
      <c r="A3" s="120" t="s">
        <v>242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5" spans="1:12" ht="36.75" x14ac:dyDescent="0.25">
      <c r="A5" s="1"/>
      <c r="B5" s="81" t="s">
        <v>210</v>
      </c>
      <c r="C5" s="81" t="s">
        <v>189</v>
      </c>
      <c r="D5" s="81" t="s">
        <v>190</v>
      </c>
      <c r="E5" s="81" t="s">
        <v>191</v>
      </c>
      <c r="F5" s="81" t="s">
        <v>192</v>
      </c>
      <c r="G5" s="81" t="s">
        <v>193</v>
      </c>
      <c r="H5" s="81" t="s">
        <v>233</v>
      </c>
      <c r="I5" s="81" t="s">
        <v>194</v>
      </c>
      <c r="J5" s="81" t="s">
        <v>195</v>
      </c>
      <c r="K5" s="81" t="s">
        <v>234</v>
      </c>
      <c r="L5" s="81" t="s">
        <v>123</v>
      </c>
    </row>
    <row r="6" spans="1:12" x14ac:dyDescent="0.25">
      <c r="A6" s="3" t="s">
        <v>118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3" t="s">
        <v>117</v>
      </c>
      <c r="B7" s="2"/>
      <c r="C7" s="2"/>
      <c r="D7" s="2"/>
      <c r="E7" s="2"/>
      <c r="F7" s="2"/>
      <c r="G7" s="2"/>
      <c r="H7" s="2"/>
      <c r="I7" s="2"/>
      <c r="J7" s="2"/>
      <c r="K7" s="5">
        <f t="shared" ref="K7:K12" si="0">((((F7)+(G7))+(H7))+(I7))+(J7)</f>
        <v>0</v>
      </c>
      <c r="L7" s="5">
        <f t="shared" ref="L7:L16" si="1">(((((B7)+(C7))+(D7))+(E7))+(F7))+(K7)</f>
        <v>0</v>
      </c>
    </row>
    <row r="8" spans="1:12" x14ac:dyDescent="0.25">
      <c r="A8" s="3" t="s">
        <v>116</v>
      </c>
      <c r="B8" s="2"/>
      <c r="C8" s="2"/>
      <c r="D8" s="2"/>
      <c r="E8" s="2"/>
      <c r="F8" s="2"/>
      <c r="G8" s="5">
        <f>16994.01</f>
        <v>16994.009999999998</v>
      </c>
      <c r="H8" s="5">
        <f>5710</f>
        <v>5710</v>
      </c>
      <c r="I8" s="2"/>
      <c r="J8" s="2"/>
      <c r="K8" s="5">
        <v>39112.22</v>
      </c>
      <c r="L8" s="5">
        <f t="shared" si="1"/>
        <v>39112.22</v>
      </c>
    </row>
    <row r="9" spans="1:12" x14ac:dyDescent="0.25">
      <c r="A9" s="3" t="s">
        <v>115</v>
      </c>
      <c r="B9" s="2"/>
      <c r="C9" s="2"/>
      <c r="D9" s="2"/>
      <c r="E9" s="2"/>
      <c r="F9" s="2"/>
      <c r="G9" s="2"/>
      <c r="H9" s="2"/>
      <c r="I9" s="2"/>
      <c r="J9" s="2"/>
      <c r="K9" s="5">
        <f t="shared" si="0"/>
        <v>0</v>
      </c>
      <c r="L9" s="5">
        <f t="shared" si="1"/>
        <v>0</v>
      </c>
    </row>
    <row r="10" spans="1:12" x14ac:dyDescent="0.25">
      <c r="A10" s="3" t="s">
        <v>114</v>
      </c>
      <c r="B10" s="2"/>
      <c r="C10" s="2"/>
      <c r="D10" s="2"/>
      <c r="E10" s="2"/>
      <c r="F10" s="2"/>
      <c r="G10" s="5">
        <f>90916.82</f>
        <v>90916.82</v>
      </c>
      <c r="H10" s="2"/>
      <c r="I10" s="2"/>
      <c r="J10" s="2"/>
      <c r="K10" s="5">
        <f t="shared" si="0"/>
        <v>90916.82</v>
      </c>
      <c r="L10" s="5">
        <f t="shared" si="1"/>
        <v>90916.82</v>
      </c>
    </row>
    <row r="11" spans="1:12" x14ac:dyDescent="0.25">
      <c r="A11" s="3" t="s">
        <v>184</v>
      </c>
      <c r="B11" s="4">
        <f t="shared" ref="B11:C11" si="2">(B9)+(B10)</f>
        <v>0</v>
      </c>
      <c r="C11" s="4">
        <f t="shared" si="2"/>
        <v>0</v>
      </c>
      <c r="D11" s="4">
        <f t="shared" ref="D11:J11" si="3">(D9)+(D10)</f>
        <v>0</v>
      </c>
      <c r="E11" s="4">
        <f t="shared" si="3"/>
        <v>0</v>
      </c>
      <c r="F11" s="4">
        <f t="shared" si="3"/>
        <v>0</v>
      </c>
      <c r="G11" s="4">
        <f t="shared" si="3"/>
        <v>90916.82</v>
      </c>
      <c r="H11" s="4">
        <f t="shared" si="3"/>
        <v>0</v>
      </c>
      <c r="I11" s="4">
        <f t="shared" si="3"/>
        <v>0</v>
      </c>
      <c r="J11" s="4">
        <f t="shared" si="3"/>
        <v>0</v>
      </c>
      <c r="K11" s="4">
        <f t="shared" si="0"/>
        <v>90916.82</v>
      </c>
      <c r="L11" s="4">
        <f t="shared" si="1"/>
        <v>90916.82</v>
      </c>
    </row>
    <row r="12" spans="1:12" x14ac:dyDescent="0.25">
      <c r="A12" s="3" t="s">
        <v>185</v>
      </c>
      <c r="B12" s="2"/>
      <c r="C12" s="5">
        <f>19999.98</f>
        <v>19999.98</v>
      </c>
      <c r="D12" s="2"/>
      <c r="E12" s="2"/>
      <c r="F12" s="2"/>
      <c r="G12" s="2"/>
      <c r="H12" s="2"/>
      <c r="I12" s="2"/>
      <c r="J12" s="2"/>
      <c r="K12" s="5">
        <f t="shared" si="0"/>
        <v>0</v>
      </c>
      <c r="L12" s="5">
        <f t="shared" si="1"/>
        <v>19999.98</v>
      </c>
    </row>
    <row r="13" spans="1:12" x14ac:dyDescent="0.25">
      <c r="A13" s="3" t="s">
        <v>113</v>
      </c>
      <c r="B13" s="4">
        <f t="shared" ref="B13:C13" si="4">(((B7)+(B8))+(B11))+(B12)</f>
        <v>0</v>
      </c>
      <c r="C13" s="4">
        <f t="shared" si="4"/>
        <v>19999.98</v>
      </c>
      <c r="D13" s="4">
        <f t="shared" ref="D13:J13" si="5">(((D7)+(D8))+(D11))+(D12)</f>
        <v>0</v>
      </c>
      <c r="E13" s="4">
        <f t="shared" si="5"/>
        <v>0</v>
      </c>
      <c r="F13" s="4">
        <f t="shared" si="5"/>
        <v>0</v>
      </c>
      <c r="G13" s="4">
        <f t="shared" si="5"/>
        <v>107910.83</v>
      </c>
      <c r="H13" s="4">
        <f t="shared" si="5"/>
        <v>5710</v>
      </c>
      <c r="I13" s="4">
        <f t="shared" si="5"/>
        <v>0</v>
      </c>
      <c r="J13" s="4">
        <f t="shared" si="5"/>
        <v>0</v>
      </c>
      <c r="K13" s="4">
        <v>130029.04</v>
      </c>
      <c r="L13" s="4">
        <f t="shared" si="1"/>
        <v>150029.01999999999</v>
      </c>
    </row>
    <row r="14" spans="1:12" x14ac:dyDescent="0.25">
      <c r="A14" s="3" t="s">
        <v>112</v>
      </c>
      <c r="B14" s="2"/>
      <c r="C14" s="2"/>
      <c r="D14" s="2"/>
      <c r="E14" s="2"/>
      <c r="F14" s="2"/>
      <c r="G14" s="5">
        <f>227.91</f>
        <v>227.91</v>
      </c>
      <c r="H14" s="2"/>
      <c r="I14" s="2"/>
      <c r="J14" s="2"/>
      <c r="K14" s="5">
        <v>950.32</v>
      </c>
      <c r="L14" s="5">
        <f t="shared" si="1"/>
        <v>950.32</v>
      </c>
    </row>
    <row r="15" spans="1:12" x14ac:dyDescent="0.25">
      <c r="A15" s="3" t="s">
        <v>111</v>
      </c>
      <c r="B15" s="4">
        <f t="shared" ref="B15:C15" si="6">(B13)+(B14)</f>
        <v>0</v>
      </c>
      <c r="C15" s="4">
        <f t="shared" si="6"/>
        <v>19999.98</v>
      </c>
      <c r="D15" s="4">
        <f t="shared" ref="D15:J15" si="7">(D13)+(D14)</f>
        <v>0</v>
      </c>
      <c r="E15" s="4">
        <f t="shared" si="7"/>
        <v>0</v>
      </c>
      <c r="F15" s="4">
        <f t="shared" si="7"/>
        <v>0</v>
      </c>
      <c r="G15" s="4">
        <f t="shared" si="7"/>
        <v>108138.74</v>
      </c>
      <c r="H15" s="4">
        <f t="shared" si="7"/>
        <v>5710</v>
      </c>
      <c r="I15" s="4">
        <f t="shared" si="7"/>
        <v>0</v>
      </c>
      <c r="J15" s="4">
        <f t="shared" si="7"/>
        <v>0</v>
      </c>
      <c r="K15" s="4">
        <f>+K13+K14</f>
        <v>130979.36</v>
      </c>
      <c r="L15" s="4">
        <f t="shared" si="1"/>
        <v>150979.34</v>
      </c>
    </row>
    <row r="16" spans="1:12" x14ac:dyDescent="0.25">
      <c r="A16" s="3" t="s">
        <v>110</v>
      </c>
      <c r="B16" s="4">
        <f t="shared" ref="B16:C16" si="8">(B15)-(0)</f>
        <v>0</v>
      </c>
      <c r="C16" s="4">
        <f t="shared" si="8"/>
        <v>19999.98</v>
      </c>
      <c r="D16" s="4">
        <f t="shared" ref="D16:J16" si="9">(D15)-(0)</f>
        <v>0</v>
      </c>
      <c r="E16" s="4">
        <f t="shared" si="9"/>
        <v>0</v>
      </c>
      <c r="F16" s="4">
        <f t="shared" si="9"/>
        <v>0</v>
      </c>
      <c r="G16" s="4">
        <f t="shared" si="9"/>
        <v>108138.74</v>
      </c>
      <c r="H16" s="4">
        <f t="shared" si="9"/>
        <v>5710</v>
      </c>
      <c r="I16" s="4">
        <f t="shared" si="9"/>
        <v>0</v>
      </c>
      <c r="J16" s="4">
        <f t="shared" si="9"/>
        <v>0</v>
      </c>
      <c r="K16" s="4">
        <f>+K15</f>
        <v>130979.36</v>
      </c>
      <c r="L16" s="4">
        <f t="shared" si="1"/>
        <v>150979.34</v>
      </c>
    </row>
    <row r="17" spans="1:12" x14ac:dyDescent="0.25">
      <c r="A17" s="3" t="s">
        <v>109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3" t="s">
        <v>179</v>
      </c>
      <c r="B18" s="2"/>
      <c r="C18" s="5">
        <v>7836.55</v>
      </c>
      <c r="D18" s="2"/>
      <c r="E18" s="2"/>
      <c r="F18" s="2"/>
      <c r="G18" s="5">
        <f>433.09</f>
        <v>433.09</v>
      </c>
      <c r="H18" s="2"/>
      <c r="I18" s="2"/>
      <c r="J18" s="2"/>
      <c r="K18" s="5">
        <v>433.09</v>
      </c>
      <c r="L18" s="5">
        <f t="shared" ref="L18:L52" si="10">(((((B18)+(C18))+(D18))+(E18))+(F18))+(K18)</f>
        <v>8269.64</v>
      </c>
    </row>
    <row r="19" spans="1:12" x14ac:dyDescent="0.25">
      <c r="A19" s="3" t="s">
        <v>108</v>
      </c>
      <c r="B19" s="2"/>
      <c r="C19" s="2"/>
      <c r="D19" s="2"/>
      <c r="E19" s="2"/>
      <c r="F19" s="2"/>
      <c r="G19" s="2"/>
      <c r="H19" s="2"/>
      <c r="I19" s="5">
        <f>799.71</f>
        <v>799.71</v>
      </c>
      <c r="J19" s="2"/>
      <c r="K19" s="5">
        <v>1063.6099999999999</v>
      </c>
      <c r="L19" s="5">
        <f t="shared" si="10"/>
        <v>1063.6099999999999</v>
      </c>
    </row>
    <row r="20" spans="1:12" x14ac:dyDescent="0.25">
      <c r="A20" s="3" t="s">
        <v>107</v>
      </c>
      <c r="B20" s="2"/>
      <c r="C20" s="2"/>
      <c r="D20" s="2"/>
      <c r="E20" s="2"/>
      <c r="F20" s="2"/>
      <c r="G20" s="2"/>
      <c r="H20" s="2"/>
      <c r="I20" s="5">
        <f>400</f>
        <v>400</v>
      </c>
      <c r="J20" s="2"/>
      <c r="K20" s="5">
        <v>600</v>
      </c>
      <c r="L20" s="5">
        <f t="shared" si="10"/>
        <v>600</v>
      </c>
    </row>
    <row r="21" spans="1:12" x14ac:dyDescent="0.25">
      <c r="A21" s="3" t="s">
        <v>106</v>
      </c>
      <c r="B21" s="2"/>
      <c r="C21" s="5">
        <v>1776</v>
      </c>
      <c r="D21" s="2"/>
      <c r="E21" s="2"/>
      <c r="F21" s="2"/>
      <c r="G21" s="2"/>
      <c r="H21" s="2"/>
      <c r="I21" s="2"/>
      <c r="J21" s="5">
        <f>4100</f>
        <v>4100</v>
      </c>
      <c r="K21" s="5">
        <v>4100</v>
      </c>
      <c r="L21" s="5">
        <f t="shared" si="10"/>
        <v>5876</v>
      </c>
    </row>
    <row r="22" spans="1:12" x14ac:dyDescent="0.25">
      <c r="A22" s="3" t="s">
        <v>213</v>
      </c>
      <c r="B22" s="2"/>
      <c r="C22" s="2"/>
      <c r="D22" s="2"/>
      <c r="E22" s="2"/>
      <c r="F22" s="2"/>
      <c r="G22" s="2"/>
      <c r="H22" s="2"/>
      <c r="I22" s="5">
        <f>275.7</f>
        <v>275.7</v>
      </c>
      <c r="J22" s="2"/>
      <c r="K22" s="5">
        <v>275.7</v>
      </c>
      <c r="L22" s="5">
        <f t="shared" si="10"/>
        <v>275.7</v>
      </c>
    </row>
    <row r="23" spans="1:12" x14ac:dyDescent="0.25">
      <c r="A23" s="3" t="s">
        <v>224</v>
      </c>
      <c r="B23" s="2"/>
      <c r="C23" s="2"/>
      <c r="D23" s="2"/>
      <c r="E23" s="2"/>
      <c r="F23" s="2"/>
      <c r="G23" s="2"/>
      <c r="H23" s="5">
        <f>700</f>
        <v>700</v>
      </c>
      <c r="I23" s="2"/>
      <c r="J23" s="2"/>
      <c r="K23" s="5">
        <v>700</v>
      </c>
      <c r="L23" s="5">
        <f t="shared" si="10"/>
        <v>700</v>
      </c>
    </row>
    <row r="24" spans="1:12" x14ac:dyDescent="0.25">
      <c r="A24" s="3" t="s">
        <v>105</v>
      </c>
      <c r="B24" s="2"/>
      <c r="C24" s="5">
        <v>1222.9000000000001</v>
      </c>
      <c r="D24" s="2"/>
      <c r="E24" s="2"/>
      <c r="F24" s="2"/>
      <c r="G24" s="2"/>
      <c r="H24" s="2"/>
      <c r="I24" s="5">
        <f>324.95</f>
        <v>324.95</v>
      </c>
      <c r="J24" s="2"/>
      <c r="K24" s="5">
        <v>324.95</v>
      </c>
      <c r="L24" s="5">
        <f t="shared" si="10"/>
        <v>1547.8500000000001</v>
      </c>
    </row>
    <row r="25" spans="1:12" x14ac:dyDescent="0.25">
      <c r="A25" s="3" t="s">
        <v>203</v>
      </c>
      <c r="B25" s="2"/>
      <c r="C25" s="5">
        <v>1200</v>
      </c>
      <c r="D25" s="2"/>
      <c r="E25" s="2"/>
      <c r="F25" s="2"/>
      <c r="G25" s="2"/>
      <c r="H25" s="2"/>
      <c r="I25" s="5">
        <f>637.9</f>
        <v>637.9</v>
      </c>
      <c r="J25" s="5">
        <f>6800</f>
        <v>6800</v>
      </c>
      <c r="K25" s="5">
        <v>12121.869999999999</v>
      </c>
      <c r="L25" s="5">
        <f t="shared" si="10"/>
        <v>13321.869999999999</v>
      </c>
    </row>
    <row r="26" spans="1:12" x14ac:dyDescent="0.25">
      <c r="A26" s="3" t="s">
        <v>101</v>
      </c>
      <c r="B26" s="2"/>
      <c r="C26" s="2"/>
      <c r="D26" s="2"/>
      <c r="E26" s="2"/>
      <c r="F26" s="2"/>
      <c r="G26" s="2"/>
      <c r="H26" s="2"/>
      <c r="I26" s="2"/>
      <c r="J26" s="2"/>
      <c r="K26" s="5">
        <v>0</v>
      </c>
      <c r="L26" s="5">
        <f t="shared" si="10"/>
        <v>0</v>
      </c>
    </row>
    <row r="27" spans="1:12" x14ac:dyDescent="0.25">
      <c r="A27" s="3" t="s">
        <v>100</v>
      </c>
      <c r="B27" s="2"/>
      <c r="C27" s="5">
        <v>14476.75</v>
      </c>
      <c r="D27" s="2"/>
      <c r="E27" s="2"/>
      <c r="F27" s="2"/>
      <c r="G27" s="2"/>
      <c r="H27" s="2"/>
      <c r="I27" s="5">
        <f>1120</f>
        <v>1120</v>
      </c>
      <c r="J27" s="2"/>
      <c r="K27" s="5">
        <v>1582</v>
      </c>
      <c r="L27" s="5">
        <f t="shared" si="10"/>
        <v>16058.75</v>
      </c>
    </row>
    <row r="28" spans="1:12" x14ac:dyDescent="0.25">
      <c r="A28" s="3" t="s">
        <v>99</v>
      </c>
      <c r="B28" s="2"/>
      <c r="C28" s="5">
        <v>35790.67</v>
      </c>
      <c r="D28" s="2"/>
      <c r="E28" s="2"/>
      <c r="F28" s="2"/>
      <c r="G28" s="2"/>
      <c r="H28" s="2"/>
      <c r="I28" s="5">
        <f>18096.35</f>
        <v>18096.349999999999</v>
      </c>
      <c r="J28" s="2"/>
      <c r="K28" s="5">
        <v>30122</v>
      </c>
      <c r="L28" s="5">
        <f t="shared" si="10"/>
        <v>65912.67</v>
      </c>
    </row>
    <row r="29" spans="1:12" x14ac:dyDescent="0.25">
      <c r="A29" s="3" t="s">
        <v>98</v>
      </c>
      <c r="B29" s="2"/>
      <c r="C29" s="2"/>
      <c r="D29" s="2"/>
      <c r="E29" s="2"/>
      <c r="F29" s="2"/>
      <c r="G29" s="2"/>
      <c r="H29" s="2"/>
      <c r="I29" s="5">
        <f>320.88</f>
        <v>320.88</v>
      </c>
      <c r="J29" s="2"/>
      <c r="K29" s="5">
        <v>521.27</v>
      </c>
      <c r="L29" s="5">
        <f t="shared" si="10"/>
        <v>521.27</v>
      </c>
    </row>
    <row r="30" spans="1:12" x14ac:dyDescent="0.25">
      <c r="A30" s="3" t="s">
        <v>97</v>
      </c>
      <c r="B30" s="2"/>
      <c r="C30" s="5">
        <v>3579.06</v>
      </c>
      <c r="D30" s="2"/>
      <c r="E30" s="2"/>
      <c r="F30" s="2"/>
      <c r="G30" s="2"/>
      <c r="H30" s="2"/>
      <c r="I30" s="5">
        <f>1859.4</f>
        <v>1859.4</v>
      </c>
      <c r="J30" s="2"/>
      <c r="K30" s="5">
        <v>2620.54</v>
      </c>
      <c r="L30" s="5">
        <f t="shared" si="10"/>
        <v>6199.6</v>
      </c>
    </row>
    <row r="31" spans="1:12" x14ac:dyDescent="0.25">
      <c r="A31" s="3" t="s">
        <v>96</v>
      </c>
      <c r="B31" s="4">
        <f t="shared" ref="B31:J31" si="11">((((B26)+(B27))+(B28))+(B29))+(B30)</f>
        <v>0</v>
      </c>
      <c r="C31" s="4">
        <f t="shared" si="11"/>
        <v>53846.479999999996</v>
      </c>
      <c r="D31" s="4">
        <f t="shared" si="11"/>
        <v>0</v>
      </c>
      <c r="E31" s="4">
        <f t="shared" si="11"/>
        <v>0</v>
      </c>
      <c r="F31" s="4">
        <f t="shared" si="11"/>
        <v>0</v>
      </c>
      <c r="G31" s="4">
        <f t="shared" si="11"/>
        <v>0</v>
      </c>
      <c r="H31" s="4">
        <f t="shared" si="11"/>
        <v>0</v>
      </c>
      <c r="I31" s="4">
        <f t="shared" si="11"/>
        <v>21396.63</v>
      </c>
      <c r="J31" s="4">
        <f t="shared" si="11"/>
        <v>0</v>
      </c>
      <c r="K31" s="4">
        <v>34845.81</v>
      </c>
      <c r="L31" s="4">
        <f t="shared" si="10"/>
        <v>88692.29</v>
      </c>
    </row>
    <row r="32" spans="1:12" x14ac:dyDescent="0.25">
      <c r="A32" s="3" t="s">
        <v>95</v>
      </c>
      <c r="B32" s="2"/>
      <c r="C32" s="2"/>
      <c r="D32" s="2"/>
      <c r="E32" s="2"/>
      <c r="F32" s="2"/>
      <c r="G32" s="2"/>
      <c r="H32" s="2"/>
      <c r="I32" s="2"/>
      <c r="J32" s="2"/>
      <c r="K32" s="5">
        <f t="shared" ref="K32:K50" si="12">(((G32)+(H32))+(I32))+(J32)</f>
        <v>0</v>
      </c>
      <c r="L32" s="5">
        <f t="shared" si="10"/>
        <v>0</v>
      </c>
    </row>
    <row r="33" spans="1:12" x14ac:dyDescent="0.25">
      <c r="A33" s="3" t="s">
        <v>94</v>
      </c>
      <c r="B33" s="2"/>
      <c r="C33" s="5">
        <v>1320</v>
      </c>
      <c r="D33" s="2"/>
      <c r="E33" s="2"/>
      <c r="F33" s="2"/>
      <c r="G33" s="2"/>
      <c r="H33" s="2"/>
      <c r="I33" s="5">
        <f>7920</f>
        <v>7920</v>
      </c>
      <c r="J33" s="2"/>
      <c r="K33" s="5">
        <v>11880</v>
      </c>
      <c r="L33" s="5">
        <f t="shared" si="10"/>
        <v>13200</v>
      </c>
    </row>
    <row r="34" spans="1:12" x14ac:dyDescent="0.25">
      <c r="A34" s="3" t="s">
        <v>93</v>
      </c>
      <c r="B34" s="2"/>
      <c r="C34" s="2"/>
      <c r="D34" s="2"/>
      <c r="E34" s="2"/>
      <c r="F34" s="2"/>
      <c r="G34" s="2"/>
      <c r="H34" s="2"/>
      <c r="I34" s="5">
        <f>6438</f>
        <v>6438</v>
      </c>
      <c r="J34" s="2"/>
      <c r="K34" s="5">
        <v>10350</v>
      </c>
      <c r="L34" s="5">
        <f t="shared" si="10"/>
        <v>10350</v>
      </c>
    </row>
    <row r="35" spans="1:12" x14ac:dyDescent="0.25">
      <c r="A35" s="3" t="s">
        <v>91</v>
      </c>
      <c r="B35" s="4">
        <f t="shared" ref="B35:J35" si="13">((B32)+(B33))+(B34)</f>
        <v>0</v>
      </c>
      <c r="C35" s="4">
        <f t="shared" si="13"/>
        <v>1320</v>
      </c>
      <c r="D35" s="4">
        <f t="shared" si="13"/>
        <v>0</v>
      </c>
      <c r="E35" s="4">
        <f t="shared" si="13"/>
        <v>0</v>
      </c>
      <c r="F35" s="4">
        <f t="shared" si="13"/>
        <v>0</v>
      </c>
      <c r="G35" s="4">
        <f t="shared" si="13"/>
        <v>0</v>
      </c>
      <c r="H35" s="4">
        <f t="shared" si="13"/>
        <v>0</v>
      </c>
      <c r="I35" s="4">
        <f t="shared" si="13"/>
        <v>14358</v>
      </c>
      <c r="J35" s="4">
        <f t="shared" si="13"/>
        <v>0</v>
      </c>
      <c r="K35" s="4">
        <v>22230</v>
      </c>
      <c r="L35" s="4">
        <f t="shared" si="10"/>
        <v>23550</v>
      </c>
    </row>
    <row r="36" spans="1:12" x14ac:dyDescent="0.25">
      <c r="A36" s="3" t="s">
        <v>90</v>
      </c>
      <c r="B36" s="2"/>
      <c r="C36" s="2"/>
      <c r="D36" s="2"/>
      <c r="E36" s="2"/>
      <c r="F36" s="2"/>
      <c r="G36" s="2"/>
      <c r="H36" s="2"/>
      <c r="I36" s="2"/>
      <c r="J36" s="2"/>
      <c r="K36" s="5">
        <f t="shared" si="12"/>
        <v>0</v>
      </c>
      <c r="L36" s="5">
        <f t="shared" si="10"/>
        <v>0</v>
      </c>
    </row>
    <row r="37" spans="1:12" x14ac:dyDescent="0.25">
      <c r="A37" s="3" t="s">
        <v>89</v>
      </c>
      <c r="B37" s="2"/>
      <c r="C37" s="2"/>
      <c r="D37" s="2"/>
      <c r="E37" s="2"/>
      <c r="F37" s="2"/>
      <c r="G37" s="2"/>
      <c r="H37" s="2"/>
      <c r="I37" s="2"/>
      <c r="J37" s="5">
        <f>0</f>
        <v>0</v>
      </c>
      <c r="K37" s="5">
        <f t="shared" si="12"/>
        <v>0</v>
      </c>
      <c r="L37" s="5">
        <f t="shared" si="10"/>
        <v>0</v>
      </c>
    </row>
    <row r="38" spans="1:12" x14ac:dyDescent="0.25">
      <c r="A38" s="3" t="s">
        <v>88</v>
      </c>
      <c r="B38" s="2"/>
      <c r="C38" s="5">
        <v>3936.28</v>
      </c>
      <c r="D38" s="2"/>
      <c r="E38" s="2"/>
      <c r="F38" s="2"/>
      <c r="G38" s="2"/>
      <c r="H38" s="2"/>
      <c r="I38" s="5">
        <f>2079.55</f>
        <v>2079.5500000000002</v>
      </c>
      <c r="J38" s="2"/>
      <c r="K38" s="5">
        <v>3936.28</v>
      </c>
      <c r="L38" s="5">
        <f t="shared" si="10"/>
        <v>7872.56</v>
      </c>
    </row>
    <row r="39" spans="1:12" x14ac:dyDescent="0.25">
      <c r="A39" s="3" t="s">
        <v>87</v>
      </c>
      <c r="B39" s="4">
        <f t="shared" ref="B39:J39" si="14">((B36)+(B37))+(B38)</f>
        <v>0</v>
      </c>
      <c r="C39" s="4">
        <f t="shared" si="14"/>
        <v>3936.28</v>
      </c>
      <c r="D39" s="4">
        <f t="shared" si="14"/>
        <v>0</v>
      </c>
      <c r="E39" s="4">
        <f t="shared" si="14"/>
        <v>0</v>
      </c>
      <c r="F39" s="4">
        <f t="shared" si="14"/>
        <v>0</v>
      </c>
      <c r="G39" s="4">
        <f t="shared" si="14"/>
        <v>0</v>
      </c>
      <c r="H39" s="4">
        <f t="shared" si="14"/>
        <v>0</v>
      </c>
      <c r="I39" s="4">
        <f t="shared" si="14"/>
        <v>2079.5500000000002</v>
      </c>
      <c r="J39" s="4">
        <f t="shared" si="14"/>
        <v>0</v>
      </c>
      <c r="K39" s="4">
        <v>3936.28</v>
      </c>
      <c r="L39" s="4">
        <f t="shared" si="10"/>
        <v>7872.56</v>
      </c>
    </row>
    <row r="40" spans="1:12" x14ac:dyDescent="0.25">
      <c r="A40" s="3" t="s">
        <v>86</v>
      </c>
      <c r="B40" s="2"/>
      <c r="C40" s="2"/>
      <c r="D40" s="2"/>
      <c r="E40" s="2"/>
      <c r="F40" s="2"/>
      <c r="G40" s="2"/>
      <c r="H40" s="2"/>
      <c r="I40" s="2"/>
      <c r="J40" s="2"/>
      <c r="K40" s="5">
        <v>0</v>
      </c>
      <c r="L40" s="5">
        <f t="shared" si="10"/>
        <v>0</v>
      </c>
    </row>
    <row r="41" spans="1:12" x14ac:dyDescent="0.25">
      <c r="A41" s="3" t="s">
        <v>85</v>
      </c>
      <c r="B41" s="2"/>
      <c r="C41" s="5">
        <v>249.48</v>
      </c>
      <c r="D41" s="2"/>
      <c r="E41" s="2"/>
      <c r="F41" s="2"/>
      <c r="G41" s="2"/>
      <c r="H41" s="2"/>
      <c r="I41" s="5">
        <f>127.92</f>
        <v>127.92</v>
      </c>
      <c r="J41" s="2"/>
      <c r="K41" s="5">
        <v>441.88</v>
      </c>
      <c r="L41" s="5">
        <f t="shared" si="10"/>
        <v>691.36</v>
      </c>
    </row>
    <row r="42" spans="1:12" x14ac:dyDescent="0.25">
      <c r="A42" s="3" t="s">
        <v>84</v>
      </c>
      <c r="B42" s="2"/>
      <c r="C42" s="2">
        <v>11.25</v>
      </c>
      <c r="D42" s="2"/>
      <c r="E42" s="2"/>
      <c r="F42" s="2"/>
      <c r="G42" s="2"/>
      <c r="H42" s="2"/>
      <c r="I42" s="5">
        <f>20</f>
        <v>20</v>
      </c>
      <c r="J42" s="5">
        <f>133.41</f>
        <v>133.41</v>
      </c>
      <c r="K42" s="5">
        <v>153.41</v>
      </c>
      <c r="L42" s="5">
        <f t="shared" si="10"/>
        <v>164.66</v>
      </c>
    </row>
    <row r="43" spans="1:12" x14ac:dyDescent="0.25">
      <c r="A43" s="3" t="s">
        <v>82</v>
      </c>
      <c r="B43" s="2"/>
      <c r="C43" s="2"/>
      <c r="D43" s="2"/>
      <c r="E43" s="2"/>
      <c r="F43" s="2"/>
      <c r="G43" s="2"/>
      <c r="H43" s="2"/>
      <c r="I43" s="5">
        <f>931.26</f>
        <v>931.26</v>
      </c>
      <c r="J43" s="2"/>
      <c r="K43" s="5">
        <v>1366.98</v>
      </c>
      <c r="L43" s="5">
        <f t="shared" si="10"/>
        <v>1366.98</v>
      </c>
    </row>
    <row r="44" spans="1:12" x14ac:dyDescent="0.25">
      <c r="A44" s="3" t="s">
        <v>80</v>
      </c>
      <c r="B44" s="2"/>
      <c r="C44" s="5">
        <v>398.77</v>
      </c>
      <c r="D44" s="2"/>
      <c r="E44" s="2"/>
      <c r="F44" s="2"/>
      <c r="G44" s="2"/>
      <c r="H44" s="2"/>
      <c r="I44" s="5">
        <f>297.68</f>
        <v>297.68</v>
      </c>
      <c r="J44" s="2"/>
      <c r="K44" s="5">
        <v>411.17</v>
      </c>
      <c r="L44" s="5">
        <f t="shared" si="10"/>
        <v>809.94</v>
      </c>
    </row>
    <row r="45" spans="1:12" x14ac:dyDescent="0.25">
      <c r="A45" s="3" t="s">
        <v>79</v>
      </c>
      <c r="B45" s="4">
        <f t="shared" ref="B45:J45" si="15">((((B40)+(B41))+(B42))+(B43))+(B44)</f>
        <v>0</v>
      </c>
      <c r="C45" s="4">
        <f t="shared" si="15"/>
        <v>659.5</v>
      </c>
      <c r="D45" s="4">
        <f t="shared" si="15"/>
        <v>0</v>
      </c>
      <c r="E45" s="4">
        <f t="shared" si="15"/>
        <v>0</v>
      </c>
      <c r="F45" s="4">
        <f t="shared" si="15"/>
        <v>0</v>
      </c>
      <c r="G45" s="4">
        <f t="shared" si="15"/>
        <v>0</v>
      </c>
      <c r="H45" s="4">
        <f t="shared" si="15"/>
        <v>0</v>
      </c>
      <c r="I45" s="4">
        <f t="shared" si="15"/>
        <v>1376.8600000000001</v>
      </c>
      <c r="J45" s="4">
        <f t="shared" si="15"/>
        <v>133.41</v>
      </c>
      <c r="K45" s="4">
        <v>2373.44</v>
      </c>
      <c r="L45" s="4">
        <f t="shared" si="10"/>
        <v>3032.94</v>
      </c>
    </row>
    <row r="46" spans="1:12" x14ac:dyDescent="0.25">
      <c r="A46" s="3" t="s">
        <v>78</v>
      </c>
      <c r="B46" s="2"/>
      <c r="C46" s="2"/>
      <c r="D46" s="2"/>
      <c r="E46" s="2"/>
      <c r="F46" s="2"/>
      <c r="G46" s="2"/>
      <c r="H46" s="2"/>
      <c r="I46" s="2"/>
      <c r="J46" s="2"/>
      <c r="K46" s="5">
        <f t="shared" si="12"/>
        <v>0</v>
      </c>
      <c r="L46" s="5">
        <f t="shared" si="10"/>
        <v>0</v>
      </c>
    </row>
    <row r="47" spans="1:12" x14ac:dyDescent="0.25">
      <c r="A47" s="3" t="s">
        <v>187</v>
      </c>
      <c r="B47" s="2"/>
      <c r="C47" s="5">
        <f>80</f>
        <v>80</v>
      </c>
      <c r="D47" s="2"/>
      <c r="E47" s="2"/>
      <c r="F47" s="2"/>
      <c r="G47" s="2"/>
      <c r="H47" s="2"/>
      <c r="I47" s="2"/>
      <c r="J47" s="2"/>
      <c r="K47" s="5">
        <f t="shared" si="12"/>
        <v>0</v>
      </c>
      <c r="L47" s="5">
        <f t="shared" si="10"/>
        <v>80</v>
      </c>
    </row>
    <row r="48" spans="1:12" x14ac:dyDescent="0.25">
      <c r="A48" s="3" t="s">
        <v>77</v>
      </c>
      <c r="B48" s="2"/>
      <c r="C48" s="5">
        <f>1384.48</f>
        <v>1384.48</v>
      </c>
      <c r="D48" s="2"/>
      <c r="E48" s="2"/>
      <c r="F48" s="2"/>
      <c r="G48" s="2"/>
      <c r="H48" s="2"/>
      <c r="I48" s="2"/>
      <c r="J48" s="2"/>
      <c r="K48" s="5">
        <f t="shared" si="12"/>
        <v>0</v>
      </c>
      <c r="L48" s="5">
        <f t="shared" si="10"/>
        <v>1384.48</v>
      </c>
    </row>
    <row r="49" spans="1:12" x14ac:dyDescent="0.25">
      <c r="A49" s="3" t="s">
        <v>74</v>
      </c>
      <c r="B49" s="4">
        <f t="shared" ref="B49:J49" si="16">((B46)+(B47))+(B48)</f>
        <v>0</v>
      </c>
      <c r="C49" s="4">
        <f t="shared" si="16"/>
        <v>1464.48</v>
      </c>
      <c r="D49" s="4">
        <f t="shared" si="16"/>
        <v>0</v>
      </c>
      <c r="E49" s="4">
        <f t="shared" si="16"/>
        <v>0</v>
      </c>
      <c r="F49" s="4">
        <f t="shared" si="16"/>
        <v>0</v>
      </c>
      <c r="G49" s="4">
        <f t="shared" si="16"/>
        <v>0</v>
      </c>
      <c r="H49" s="4">
        <f t="shared" si="16"/>
        <v>0</v>
      </c>
      <c r="I49" s="4">
        <f t="shared" si="16"/>
        <v>0</v>
      </c>
      <c r="J49" s="4">
        <f t="shared" si="16"/>
        <v>0</v>
      </c>
      <c r="K49" s="4">
        <f t="shared" si="12"/>
        <v>0</v>
      </c>
      <c r="L49" s="4">
        <f t="shared" si="10"/>
        <v>1464.48</v>
      </c>
    </row>
    <row r="50" spans="1:12" x14ac:dyDescent="0.25">
      <c r="A50" s="3" t="s">
        <v>188</v>
      </c>
      <c r="B50" s="2"/>
      <c r="C50" s="2"/>
      <c r="D50" s="2"/>
      <c r="E50" s="2"/>
      <c r="F50" s="2"/>
      <c r="G50" s="2"/>
      <c r="H50" s="2"/>
      <c r="I50" s="2"/>
      <c r="J50" s="5">
        <f>11900</f>
        <v>11900</v>
      </c>
      <c r="K50" s="5">
        <f t="shared" si="12"/>
        <v>11900</v>
      </c>
      <c r="L50" s="5">
        <f t="shared" si="10"/>
        <v>11900</v>
      </c>
    </row>
    <row r="51" spans="1:12" x14ac:dyDescent="0.25">
      <c r="A51" s="3" t="s">
        <v>73</v>
      </c>
      <c r="B51" s="4">
        <f t="shared" ref="B51:J51" si="17">(((((((((((((B18)+(B19))+(B20))+(B21))+(B22))+(B23))+(B24))+(B25))+(B31))+(B35))+(B39))+(B45))+(B49))+(B50)</f>
        <v>0</v>
      </c>
      <c r="C51" s="4">
        <f t="shared" si="17"/>
        <v>73262.189999999988</v>
      </c>
      <c r="D51" s="4">
        <f t="shared" si="17"/>
        <v>0</v>
      </c>
      <c r="E51" s="4">
        <f t="shared" si="17"/>
        <v>0</v>
      </c>
      <c r="F51" s="4">
        <f t="shared" si="17"/>
        <v>0</v>
      </c>
      <c r="G51" s="4">
        <f t="shared" si="17"/>
        <v>433.09</v>
      </c>
      <c r="H51" s="4">
        <f t="shared" si="17"/>
        <v>700</v>
      </c>
      <c r="I51" s="4">
        <f t="shared" si="17"/>
        <v>41649.300000000003</v>
      </c>
      <c r="J51" s="4">
        <f t="shared" si="17"/>
        <v>22933.41</v>
      </c>
      <c r="K51" s="4">
        <v>94947.59</v>
      </c>
      <c r="L51" s="4">
        <f t="shared" si="10"/>
        <v>168209.77999999997</v>
      </c>
    </row>
    <row r="52" spans="1:12" x14ac:dyDescent="0.25">
      <c r="A52" s="3" t="s">
        <v>72</v>
      </c>
      <c r="B52" s="4">
        <f t="shared" ref="B52:J52" si="18">(B16)-(B51)</f>
        <v>0</v>
      </c>
      <c r="C52" s="4">
        <f t="shared" si="18"/>
        <v>-53262.209999999992</v>
      </c>
      <c r="D52" s="4">
        <f t="shared" si="18"/>
        <v>0</v>
      </c>
      <c r="E52" s="4">
        <f t="shared" si="18"/>
        <v>0</v>
      </c>
      <c r="F52" s="4">
        <f t="shared" si="18"/>
        <v>0</v>
      </c>
      <c r="G52" s="4">
        <f t="shared" si="18"/>
        <v>107705.65000000001</v>
      </c>
      <c r="H52" s="4">
        <f t="shared" si="18"/>
        <v>5010</v>
      </c>
      <c r="I52" s="4">
        <f t="shared" si="18"/>
        <v>-41649.300000000003</v>
      </c>
      <c r="J52" s="4">
        <f t="shared" si="18"/>
        <v>-22933.41</v>
      </c>
      <c r="K52" s="4">
        <v>36031.769999999997</v>
      </c>
      <c r="L52" s="4">
        <f t="shared" si="10"/>
        <v>-17230.439999999995</v>
      </c>
    </row>
    <row r="53" spans="1:12" x14ac:dyDescent="0.25">
      <c r="A53" s="3" t="s">
        <v>71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3" t="s">
        <v>70</v>
      </c>
      <c r="B54" s="5">
        <f>-22800</f>
        <v>-22800</v>
      </c>
      <c r="C54" s="5">
        <f>12800</f>
        <v>12800</v>
      </c>
      <c r="D54" s="5">
        <f>278781</f>
        <v>278781</v>
      </c>
      <c r="E54" s="5">
        <f>141573.81</f>
        <v>141573.81</v>
      </c>
      <c r="F54" s="5">
        <f>1000</f>
        <v>1000</v>
      </c>
      <c r="G54" s="2"/>
      <c r="H54" s="2"/>
      <c r="I54" s="2"/>
      <c r="J54" s="2"/>
      <c r="K54" s="5">
        <f t="shared" ref="K54:K61" si="19">(((G54)+(H54))+(I54))+(J54)</f>
        <v>0</v>
      </c>
      <c r="L54" s="5">
        <v>1392260.1</v>
      </c>
    </row>
    <row r="55" spans="1:12" x14ac:dyDescent="0.25">
      <c r="A55" s="3" t="s">
        <v>69</v>
      </c>
      <c r="B55" s="2"/>
      <c r="C55" s="2"/>
      <c r="D55" s="2"/>
      <c r="E55" s="2"/>
      <c r="F55" s="2"/>
      <c r="G55" s="2"/>
      <c r="H55" s="2"/>
      <c r="I55" s="2"/>
      <c r="J55" s="2"/>
      <c r="K55" s="5">
        <f t="shared" si="19"/>
        <v>0</v>
      </c>
      <c r="L55" s="5">
        <v>0</v>
      </c>
    </row>
    <row r="56" spans="1:12" x14ac:dyDescent="0.25">
      <c r="A56" s="3" t="s">
        <v>68</v>
      </c>
      <c r="B56" s="2"/>
      <c r="C56" s="2"/>
      <c r="D56" s="5">
        <f>40832.45</f>
        <v>40832.449999999997</v>
      </c>
      <c r="E56" s="5">
        <f>42433.16</f>
        <v>42433.16</v>
      </c>
      <c r="F56" s="5">
        <f>2336.49</f>
        <v>2336.4899999999998</v>
      </c>
      <c r="G56" s="2"/>
      <c r="H56" s="2"/>
      <c r="I56" s="2"/>
      <c r="J56" s="2"/>
      <c r="K56" s="5">
        <f t="shared" si="19"/>
        <v>0</v>
      </c>
      <c r="L56" s="5">
        <v>199876.77</v>
      </c>
    </row>
    <row r="57" spans="1:12" x14ac:dyDescent="0.25">
      <c r="A57" s="3" t="s">
        <v>177</v>
      </c>
      <c r="B57" s="2"/>
      <c r="C57" s="2"/>
      <c r="D57" s="5">
        <f>0</f>
        <v>0</v>
      </c>
      <c r="E57" s="5">
        <f>0</f>
        <v>0</v>
      </c>
      <c r="F57" s="5">
        <f>0</f>
        <v>0</v>
      </c>
      <c r="G57" s="2"/>
      <c r="H57" s="2"/>
      <c r="I57" s="2"/>
      <c r="J57" s="2"/>
      <c r="K57" s="5">
        <f t="shared" si="19"/>
        <v>0</v>
      </c>
      <c r="L57" s="5">
        <v>0</v>
      </c>
    </row>
    <row r="58" spans="1:12" x14ac:dyDescent="0.25">
      <c r="A58" s="3" t="s">
        <v>67</v>
      </c>
      <c r="B58" s="2"/>
      <c r="C58" s="2"/>
      <c r="D58" s="5">
        <f>149272.21</f>
        <v>149272.21</v>
      </c>
      <c r="E58" s="5">
        <f>166005.6</f>
        <v>166005.6</v>
      </c>
      <c r="F58" s="5">
        <f>8741.85</f>
        <v>8741.85</v>
      </c>
      <c r="G58" s="2"/>
      <c r="H58" s="2"/>
      <c r="I58" s="2"/>
      <c r="J58" s="2"/>
      <c r="K58" s="5">
        <f t="shared" si="19"/>
        <v>0</v>
      </c>
      <c r="L58" s="5">
        <v>247865.03</v>
      </c>
    </row>
    <row r="59" spans="1:12" x14ac:dyDescent="0.25">
      <c r="A59" s="3" t="s">
        <v>66</v>
      </c>
      <c r="B59" s="2"/>
      <c r="C59" s="2"/>
      <c r="D59" s="5">
        <f>-29210.84</f>
        <v>-29210.84</v>
      </c>
      <c r="E59" s="5">
        <f>-31685.6</f>
        <v>-31685.599999999999</v>
      </c>
      <c r="F59" s="5">
        <f>0</f>
        <v>0</v>
      </c>
      <c r="G59" s="2"/>
      <c r="H59" s="2"/>
      <c r="I59" s="2"/>
      <c r="J59" s="2"/>
      <c r="K59" s="5">
        <f t="shared" si="19"/>
        <v>0</v>
      </c>
      <c r="L59" s="5">
        <v>-60896.44</v>
      </c>
    </row>
    <row r="60" spans="1:12" x14ac:dyDescent="0.25">
      <c r="A60" s="3" t="s">
        <v>65</v>
      </c>
      <c r="B60" s="4">
        <f t="shared" ref="B60:J60" si="20">((((B55)+(B56))+(B57))+(B58))+(B59)</f>
        <v>0</v>
      </c>
      <c r="C60" s="4">
        <f t="shared" si="20"/>
        <v>0</v>
      </c>
      <c r="D60" s="4">
        <f t="shared" si="20"/>
        <v>160893.81999999998</v>
      </c>
      <c r="E60" s="4">
        <f t="shared" si="20"/>
        <v>176753.16</v>
      </c>
      <c r="F60" s="4">
        <f t="shared" si="20"/>
        <v>11078.34</v>
      </c>
      <c r="G60" s="4">
        <f t="shared" si="20"/>
        <v>0</v>
      </c>
      <c r="H60" s="4">
        <f t="shared" si="20"/>
        <v>0</v>
      </c>
      <c r="I60" s="4">
        <f t="shared" si="20"/>
        <v>0</v>
      </c>
      <c r="J60" s="4">
        <f t="shared" si="20"/>
        <v>0</v>
      </c>
      <c r="K60" s="4">
        <f t="shared" si="19"/>
        <v>0</v>
      </c>
      <c r="L60" s="4">
        <v>386845.36</v>
      </c>
    </row>
    <row r="61" spans="1:12" x14ac:dyDescent="0.25">
      <c r="A61" s="3" t="s">
        <v>64</v>
      </c>
      <c r="B61" s="4">
        <f t="shared" ref="B61:J61" si="21">(B54)+(B60)</f>
        <v>-22800</v>
      </c>
      <c r="C61" s="4">
        <f t="shared" si="21"/>
        <v>12800</v>
      </c>
      <c r="D61" s="4">
        <f t="shared" si="21"/>
        <v>439674.81999999995</v>
      </c>
      <c r="E61" s="4">
        <f t="shared" si="21"/>
        <v>318326.96999999997</v>
      </c>
      <c r="F61" s="4">
        <f t="shared" si="21"/>
        <v>12078.34</v>
      </c>
      <c r="G61" s="4">
        <f t="shared" si="21"/>
        <v>0</v>
      </c>
      <c r="H61" s="4">
        <f t="shared" si="21"/>
        <v>0</v>
      </c>
      <c r="I61" s="4">
        <f t="shared" si="21"/>
        <v>0</v>
      </c>
      <c r="J61" s="4">
        <f t="shared" si="21"/>
        <v>0</v>
      </c>
      <c r="K61" s="4">
        <f t="shared" si="19"/>
        <v>0</v>
      </c>
      <c r="L61" s="4">
        <v>1779105.46</v>
      </c>
    </row>
    <row r="62" spans="1:12" x14ac:dyDescent="0.25">
      <c r="A62" s="3" t="s">
        <v>63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3" t="s">
        <v>62</v>
      </c>
      <c r="B63" s="2"/>
      <c r="C63" s="2"/>
      <c r="D63" s="5">
        <f>228697.91</f>
        <v>228697.91</v>
      </c>
      <c r="E63" s="5">
        <f>152232.97</f>
        <v>152232.97</v>
      </c>
      <c r="F63" s="5">
        <f>437598.22</f>
        <v>437598.22</v>
      </c>
      <c r="G63" s="5">
        <f>-20000</f>
        <v>-20000</v>
      </c>
      <c r="H63" s="2"/>
      <c r="I63" s="2"/>
      <c r="J63" s="2"/>
      <c r="K63" s="5"/>
      <c r="L63" s="5">
        <v>1221221.8999999999</v>
      </c>
    </row>
    <row r="64" spans="1:12" x14ac:dyDescent="0.25">
      <c r="A64" s="3" t="s">
        <v>61</v>
      </c>
      <c r="B64" s="4">
        <f t="shared" ref="B64:J64" si="22">B63</f>
        <v>0</v>
      </c>
      <c r="C64" s="4">
        <f t="shared" si="22"/>
        <v>0</v>
      </c>
      <c r="D64" s="4">
        <f t="shared" si="22"/>
        <v>228697.91</v>
      </c>
      <c r="E64" s="4">
        <f t="shared" si="22"/>
        <v>152232.97</v>
      </c>
      <c r="F64" s="4">
        <f t="shared" si="22"/>
        <v>437598.22</v>
      </c>
      <c r="G64" s="4">
        <f t="shared" si="22"/>
        <v>-20000</v>
      </c>
      <c r="H64" s="4">
        <f t="shared" si="22"/>
        <v>0</v>
      </c>
      <c r="I64" s="4">
        <f t="shared" si="22"/>
        <v>0</v>
      </c>
      <c r="J64" s="4">
        <f t="shared" si="22"/>
        <v>0</v>
      </c>
      <c r="K64" s="4">
        <v>0</v>
      </c>
      <c r="L64" s="4">
        <v>1221221.8999999999</v>
      </c>
    </row>
    <row r="65" spans="1:12" x14ac:dyDescent="0.25">
      <c r="A65" s="3" t="s">
        <v>60</v>
      </c>
      <c r="B65" s="4">
        <f t="shared" ref="B65:J65" si="23">(B61)-(B64)</f>
        <v>-22800</v>
      </c>
      <c r="C65" s="4">
        <f t="shared" si="23"/>
        <v>12800</v>
      </c>
      <c r="D65" s="4">
        <f t="shared" si="23"/>
        <v>210976.90999999995</v>
      </c>
      <c r="E65" s="4">
        <f t="shared" si="23"/>
        <v>166093.99999999997</v>
      </c>
      <c r="F65" s="4">
        <f t="shared" si="23"/>
        <v>-425519.87999999995</v>
      </c>
      <c r="G65" s="4">
        <f t="shared" si="23"/>
        <v>20000</v>
      </c>
      <c r="H65" s="4">
        <f t="shared" si="23"/>
        <v>0</v>
      </c>
      <c r="I65" s="4">
        <f t="shared" si="23"/>
        <v>0</v>
      </c>
      <c r="J65" s="4">
        <f t="shared" si="23"/>
        <v>0</v>
      </c>
      <c r="K65" s="4">
        <v>0</v>
      </c>
      <c r="L65" s="4">
        <v>557883.56000000006</v>
      </c>
    </row>
    <row r="66" spans="1:12" x14ac:dyDescent="0.25">
      <c r="A66" s="3" t="s">
        <v>59</v>
      </c>
      <c r="B66" s="4">
        <f t="shared" ref="B66:J66" si="24">(B52)+(B65)</f>
        <v>-22800</v>
      </c>
      <c r="C66" s="4">
        <f t="shared" si="24"/>
        <v>-40462.209999999992</v>
      </c>
      <c r="D66" s="4">
        <f t="shared" si="24"/>
        <v>210976.90999999995</v>
      </c>
      <c r="E66" s="4">
        <f t="shared" si="24"/>
        <v>166093.99999999997</v>
      </c>
      <c r="F66" s="4">
        <f t="shared" si="24"/>
        <v>-425519.87999999995</v>
      </c>
      <c r="G66" s="4">
        <f t="shared" si="24"/>
        <v>127705.65000000001</v>
      </c>
      <c r="H66" s="4">
        <f t="shared" si="24"/>
        <v>5010</v>
      </c>
      <c r="I66" s="4">
        <f t="shared" si="24"/>
        <v>-41649.300000000003</v>
      </c>
      <c r="J66" s="4">
        <f t="shared" si="24"/>
        <v>-22933.41</v>
      </c>
      <c r="K66" s="4">
        <v>36031.769999999997</v>
      </c>
      <c r="L66" s="4">
        <v>540653.12</v>
      </c>
    </row>
    <row r="67" spans="1:12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121" t="s">
        <v>58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</row>
    <row r="70" spans="1:12" x14ac:dyDescent="0.25">
      <c r="A70" s="123" t="s">
        <v>235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</sheetData>
  <mergeCells count="5">
    <mergeCell ref="A68:L68"/>
    <mergeCell ref="A70:L70"/>
    <mergeCell ref="A1:L1"/>
    <mergeCell ref="A2:L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activeCell="B10" sqref="B10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8" t="s">
        <v>56</v>
      </c>
      <c r="B1" s="119"/>
      <c r="C1" s="119"/>
      <c r="D1" s="119"/>
      <c r="E1" s="119"/>
      <c r="F1" s="119"/>
      <c r="G1" s="119"/>
    </row>
    <row r="2" spans="1:7" ht="18" x14ac:dyDescent="0.25">
      <c r="A2" s="118" t="s">
        <v>129</v>
      </c>
      <c r="B2" s="119"/>
      <c r="C2" s="119"/>
      <c r="D2" s="119"/>
      <c r="E2" s="119"/>
      <c r="F2" s="119"/>
      <c r="G2" s="119"/>
    </row>
    <row r="3" spans="1:7" x14ac:dyDescent="0.25">
      <c r="A3" s="120" t="s">
        <v>240</v>
      </c>
      <c r="B3" s="119"/>
      <c r="C3" s="119"/>
      <c r="D3" s="119"/>
      <c r="E3" s="119"/>
      <c r="F3" s="119"/>
      <c r="G3" s="119"/>
    </row>
    <row r="5" spans="1:7" x14ac:dyDescent="0.25">
      <c r="A5" s="1"/>
      <c r="B5" s="81" t="s">
        <v>128</v>
      </c>
      <c r="C5" s="81" t="s">
        <v>127</v>
      </c>
      <c r="D5" s="81" t="s">
        <v>126</v>
      </c>
      <c r="E5" s="81" t="s">
        <v>125</v>
      </c>
      <c r="F5" s="81" t="s">
        <v>124</v>
      </c>
      <c r="G5" s="81" t="s">
        <v>0</v>
      </c>
    </row>
    <row r="6" spans="1:7" x14ac:dyDescent="0.25">
      <c r="A6" s="3" t="s">
        <v>243</v>
      </c>
      <c r="B6" s="2"/>
      <c r="C6" s="5">
        <f>4162</f>
        <v>4162</v>
      </c>
      <c r="D6" s="2"/>
      <c r="E6" s="2"/>
      <c r="F6" s="2"/>
      <c r="G6" s="5">
        <f t="shared" ref="G6:G11" si="0">((((B6)+(C6))+(D6))+(E6))+(F6)</f>
        <v>4162</v>
      </c>
    </row>
    <row r="7" spans="1:7" x14ac:dyDescent="0.25">
      <c r="A7" s="3" t="s">
        <v>212</v>
      </c>
      <c r="B7" s="5">
        <f>2054.85</f>
        <v>2054.85</v>
      </c>
      <c r="C7" s="2"/>
      <c r="D7" s="2"/>
      <c r="E7" s="2"/>
      <c r="F7" s="2"/>
      <c r="G7" s="5">
        <f t="shared" si="0"/>
        <v>2054.85</v>
      </c>
    </row>
    <row r="8" spans="1:7" x14ac:dyDescent="0.25">
      <c r="A8" s="3" t="s">
        <v>244</v>
      </c>
      <c r="B8" s="2"/>
      <c r="C8" s="2"/>
      <c r="D8" s="5">
        <f>45.73</f>
        <v>45.73</v>
      </c>
      <c r="E8" s="2"/>
      <c r="F8" s="2"/>
      <c r="G8" s="5">
        <f t="shared" si="0"/>
        <v>45.73</v>
      </c>
    </row>
    <row r="9" spans="1:7" x14ac:dyDescent="0.25">
      <c r="A9" s="3" t="s">
        <v>199</v>
      </c>
      <c r="B9" s="5">
        <f>2200</f>
        <v>2200</v>
      </c>
      <c r="C9" s="2"/>
      <c r="D9" s="2"/>
      <c r="E9" s="2"/>
      <c r="F9" s="2"/>
      <c r="G9" s="5">
        <f t="shared" si="0"/>
        <v>2200</v>
      </c>
    </row>
    <row r="10" spans="1:7" x14ac:dyDescent="0.25">
      <c r="A10" s="3" t="s">
        <v>245</v>
      </c>
      <c r="B10" s="2"/>
      <c r="C10" s="5">
        <f>471.46</f>
        <v>471.46</v>
      </c>
      <c r="D10" s="2"/>
      <c r="E10" s="2"/>
      <c r="F10" s="2"/>
      <c r="G10" s="5">
        <f t="shared" si="0"/>
        <v>471.46</v>
      </c>
    </row>
    <row r="11" spans="1:7" x14ac:dyDescent="0.25">
      <c r="A11" s="3" t="s">
        <v>123</v>
      </c>
      <c r="B11" s="4">
        <f>((((B6)+(B7))+(B8))+(B9))+(B10)</f>
        <v>4254.8500000000004</v>
      </c>
      <c r="C11" s="4">
        <f>((((C6)+(C7))+(C8))+(C9))+(C10)</f>
        <v>4633.46</v>
      </c>
      <c r="D11" s="4">
        <f>((((D6)+(D7))+(D8))+(D9))+(D10)</f>
        <v>45.73</v>
      </c>
      <c r="E11" s="4">
        <f>((((E6)+(E7))+(E8))+(E9))+(E10)</f>
        <v>0</v>
      </c>
      <c r="F11" s="4">
        <f>((((F6)+(F7))+(F8))+(F9))+(F10)</f>
        <v>0</v>
      </c>
      <c r="G11" s="4">
        <f t="shared" si="0"/>
        <v>8934.0400000000009</v>
      </c>
    </row>
    <row r="12" spans="1:7" x14ac:dyDescent="0.25">
      <c r="A12" s="3"/>
      <c r="B12" s="2"/>
      <c r="C12" s="2"/>
      <c r="D12" s="2"/>
      <c r="E12" s="2"/>
      <c r="F12" s="2"/>
      <c r="G12" s="2"/>
    </row>
    <row r="15" spans="1:7" x14ac:dyDescent="0.25">
      <c r="A15" s="123" t="s">
        <v>246</v>
      </c>
      <c r="B15" s="119"/>
      <c r="C15" s="119"/>
      <c r="D15" s="119"/>
      <c r="E15" s="119"/>
      <c r="F15" s="119"/>
      <c r="G15" s="119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B10" sqref="B10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8" t="s">
        <v>56</v>
      </c>
      <c r="B1" s="119"/>
      <c r="C1" s="119"/>
      <c r="D1" s="119"/>
      <c r="E1" s="119"/>
      <c r="F1" s="119"/>
      <c r="G1" s="119"/>
    </row>
    <row r="2" spans="1:7" ht="18" x14ac:dyDescent="0.25">
      <c r="A2" s="118" t="s">
        <v>198</v>
      </c>
      <c r="B2" s="119"/>
      <c r="C2" s="119"/>
      <c r="D2" s="119"/>
      <c r="E2" s="119"/>
      <c r="F2" s="119"/>
      <c r="G2" s="119"/>
    </row>
    <row r="3" spans="1:7" x14ac:dyDescent="0.25">
      <c r="A3" s="120" t="s">
        <v>232</v>
      </c>
      <c r="B3" s="119"/>
      <c r="C3" s="119"/>
      <c r="D3" s="119"/>
      <c r="E3" s="119"/>
      <c r="F3" s="119"/>
      <c r="G3" s="119"/>
    </row>
    <row r="5" spans="1:7" x14ac:dyDescent="0.25">
      <c r="A5" s="1"/>
      <c r="B5" s="81" t="s">
        <v>128</v>
      </c>
      <c r="C5" s="81" t="s">
        <v>127</v>
      </c>
      <c r="D5" s="81" t="s">
        <v>126</v>
      </c>
      <c r="E5" s="81" t="s">
        <v>125</v>
      </c>
      <c r="F5" s="81" t="s">
        <v>124</v>
      </c>
      <c r="G5" s="81" t="s">
        <v>0</v>
      </c>
    </row>
    <row r="6" spans="1:7" x14ac:dyDescent="0.25">
      <c r="A6" s="3" t="s">
        <v>202</v>
      </c>
      <c r="B6" s="5">
        <f>3333.33</f>
        <v>3333.33</v>
      </c>
      <c r="C6" s="5">
        <f>3333.33</f>
        <v>3333.33</v>
      </c>
      <c r="D6" s="5">
        <f>3333.33</f>
        <v>3333.33</v>
      </c>
      <c r="E6" s="5">
        <f>3333.33</f>
        <v>3333.33</v>
      </c>
      <c r="F6" s="5">
        <f>6666.66</f>
        <v>6666.66</v>
      </c>
      <c r="G6" s="5">
        <f>((((B6)+(C6))+(D6))+(E6))+(F6)</f>
        <v>19999.98</v>
      </c>
    </row>
    <row r="7" spans="1:7" x14ac:dyDescent="0.25">
      <c r="A7" s="3" t="s">
        <v>123</v>
      </c>
      <c r="B7" s="4">
        <f>B6</f>
        <v>3333.33</v>
      </c>
      <c r="C7" s="4">
        <f>C6</f>
        <v>3333.33</v>
      </c>
      <c r="D7" s="4">
        <f>D6</f>
        <v>3333.33</v>
      </c>
      <c r="E7" s="4">
        <f>E6</f>
        <v>3333.33</v>
      </c>
      <c r="F7" s="4">
        <f>F6</f>
        <v>6666.66</v>
      </c>
      <c r="G7" s="4">
        <f>((((B7)+(C7))+(D7))+(E7))+(F7)</f>
        <v>19999.98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23" t="s">
        <v>247</v>
      </c>
      <c r="B11" s="119"/>
      <c r="C11" s="119"/>
      <c r="D11" s="119"/>
      <c r="E11" s="119"/>
      <c r="F11" s="119"/>
      <c r="G11" s="119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2025-01-28T01:30:48Z</dcterms:modified>
</cp:coreProperties>
</file>