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5\2024.09.30 Financials for Oct 21 EC Meeting\"/>
    </mc:Choice>
  </mc:AlternateContent>
  <xr:revisionPtr revIDLastSave="0" documentId="13_ncr:1_{278D45A9-8577-4B71-B4E4-A047C8B2BCC7}" xr6:coauthVersionLast="47" xr6:coauthVersionMax="47" xr10:uidLastSave="{00000000-0000-0000-0000-000000000000}"/>
  <bookViews>
    <workbookView xWindow="-120" yWindow="-120" windowWidth="20730" windowHeight="11160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  <externalReference r:id="rId10"/>
  </externalReferences>
  <definedNames>
    <definedName name="_xlnm.Print_Area" localSheetId="3">'Budget vs. Actuals'!#REF!</definedName>
    <definedName name="_xlnm.Print_Titles" localSheetId="3">'Budget vs. Actuals'!$A:$E,'Budget vs. Actuals'!$4:$6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C8" i="4"/>
  <c r="B7" i="4"/>
  <c r="G7" i="4" s="1"/>
  <c r="B6" i="4"/>
  <c r="G6" i="4" s="1"/>
  <c r="F7" i="9"/>
  <c r="E7" i="9"/>
  <c r="C7" i="9"/>
  <c r="D6" i="9"/>
  <c r="D7" i="9" s="1"/>
  <c r="B6" i="9"/>
  <c r="B7" i="9" s="1"/>
  <c r="G7" i="9" s="1"/>
  <c r="I61" i="12"/>
  <c r="H61" i="12"/>
  <c r="C61" i="12"/>
  <c r="B61" i="12"/>
  <c r="G60" i="12"/>
  <c r="J60" i="12" s="1"/>
  <c r="F60" i="12"/>
  <c r="F61" i="12" s="1"/>
  <c r="E60" i="12"/>
  <c r="E61" i="12" s="1"/>
  <c r="D60" i="12"/>
  <c r="D61" i="12" s="1"/>
  <c r="G58" i="12"/>
  <c r="J58" i="12" s="1"/>
  <c r="C58" i="12"/>
  <c r="C62" i="12" s="1"/>
  <c r="B58" i="12"/>
  <c r="B62" i="12" s="1"/>
  <c r="I57" i="12"/>
  <c r="I58" i="12" s="1"/>
  <c r="I62" i="12" s="1"/>
  <c r="H57" i="12"/>
  <c r="H58" i="12" s="1"/>
  <c r="H62" i="12" s="1"/>
  <c r="G57" i="12"/>
  <c r="C57" i="12"/>
  <c r="B57" i="12"/>
  <c r="J56" i="12"/>
  <c r="K56" i="12" s="1"/>
  <c r="F56" i="12"/>
  <c r="E56" i="12"/>
  <c r="D56" i="12"/>
  <c r="J55" i="12"/>
  <c r="F55" i="12"/>
  <c r="E55" i="12"/>
  <c r="D55" i="12"/>
  <c r="K55" i="12" s="1"/>
  <c r="J54" i="12"/>
  <c r="F54" i="12"/>
  <c r="E54" i="12"/>
  <c r="K54" i="12" s="1"/>
  <c r="D54" i="12"/>
  <c r="J53" i="12"/>
  <c r="F53" i="12"/>
  <c r="F57" i="12" s="1"/>
  <c r="F58" i="12" s="1"/>
  <c r="F62" i="12" s="1"/>
  <c r="E53" i="12"/>
  <c r="D53" i="12"/>
  <c r="J52" i="12"/>
  <c r="K52" i="12" s="1"/>
  <c r="J51" i="12"/>
  <c r="F51" i="12"/>
  <c r="E51" i="12"/>
  <c r="D51" i="12"/>
  <c r="C51" i="12"/>
  <c r="B51" i="12"/>
  <c r="K51" i="12" s="1"/>
  <c r="E48" i="12"/>
  <c r="B48" i="12"/>
  <c r="I47" i="12"/>
  <c r="J47" i="12" s="1"/>
  <c r="K47" i="12" s="1"/>
  <c r="I46" i="12"/>
  <c r="H46" i="12"/>
  <c r="G46" i="12"/>
  <c r="J46" i="12" s="1"/>
  <c r="F46" i="12"/>
  <c r="E46" i="12"/>
  <c r="D46" i="12"/>
  <c r="B46" i="12"/>
  <c r="K46" i="12" s="1"/>
  <c r="J45" i="12"/>
  <c r="C45" i="12"/>
  <c r="C46" i="12" s="1"/>
  <c r="K44" i="12"/>
  <c r="J44" i="12"/>
  <c r="C44" i="12"/>
  <c r="J43" i="12"/>
  <c r="K43" i="12" s="1"/>
  <c r="H42" i="12"/>
  <c r="J42" i="12" s="1"/>
  <c r="G42" i="12"/>
  <c r="F42" i="12"/>
  <c r="E42" i="12"/>
  <c r="D42" i="12"/>
  <c r="B42" i="12"/>
  <c r="J41" i="12"/>
  <c r="K41" i="12" s="1"/>
  <c r="H41" i="12"/>
  <c r="C41" i="12"/>
  <c r="J40" i="12"/>
  <c r="K40" i="12" s="1"/>
  <c r="H40" i="12"/>
  <c r="I39" i="12"/>
  <c r="I42" i="12" s="1"/>
  <c r="H39" i="12"/>
  <c r="H38" i="12"/>
  <c r="J38" i="12" s="1"/>
  <c r="K38" i="12" s="1"/>
  <c r="C38" i="12"/>
  <c r="C42" i="12" s="1"/>
  <c r="J37" i="12"/>
  <c r="K37" i="12" s="1"/>
  <c r="G36" i="12"/>
  <c r="F36" i="12"/>
  <c r="E36" i="12"/>
  <c r="D36" i="12"/>
  <c r="C36" i="12"/>
  <c r="B36" i="12"/>
  <c r="H35" i="12"/>
  <c r="H36" i="12" s="1"/>
  <c r="C35" i="12"/>
  <c r="I34" i="12"/>
  <c r="I36" i="12" s="1"/>
  <c r="J33" i="12"/>
  <c r="K33" i="12" s="1"/>
  <c r="I32" i="12"/>
  <c r="G32" i="12"/>
  <c r="F32" i="12"/>
  <c r="E32" i="12"/>
  <c r="D32" i="12"/>
  <c r="B32" i="12"/>
  <c r="H31" i="12"/>
  <c r="H32" i="12" s="1"/>
  <c r="C31" i="12"/>
  <c r="C32" i="12" s="1"/>
  <c r="J30" i="12"/>
  <c r="K30" i="12" s="1"/>
  <c r="I29" i="12"/>
  <c r="G29" i="12"/>
  <c r="F29" i="12"/>
  <c r="F48" i="12" s="1"/>
  <c r="E29" i="12"/>
  <c r="D29" i="12"/>
  <c r="D48" i="12" s="1"/>
  <c r="B29" i="12"/>
  <c r="H28" i="12"/>
  <c r="J28" i="12" s="1"/>
  <c r="C28" i="12"/>
  <c r="K28" i="12" s="1"/>
  <c r="H27" i="12"/>
  <c r="J27" i="12" s="1"/>
  <c r="K27" i="12" s="1"/>
  <c r="H26" i="12"/>
  <c r="J26" i="12" s="1"/>
  <c r="C26" i="12"/>
  <c r="K26" i="12" s="1"/>
  <c r="H25" i="12"/>
  <c r="J25" i="12" s="1"/>
  <c r="K25" i="12" s="1"/>
  <c r="C25" i="12"/>
  <c r="C29" i="12" s="1"/>
  <c r="K24" i="12"/>
  <c r="J24" i="12"/>
  <c r="I23" i="12"/>
  <c r="J23" i="12" s="1"/>
  <c r="K23" i="12" s="1"/>
  <c r="C23" i="12"/>
  <c r="H22" i="12"/>
  <c r="J22" i="12" s="1"/>
  <c r="K22" i="12" s="1"/>
  <c r="I21" i="12"/>
  <c r="J21" i="12" s="1"/>
  <c r="C21" i="12"/>
  <c r="K21" i="12" s="1"/>
  <c r="H20" i="12"/>
  <c r="J20" i="12" s="1"/>
  <c r="K20" i="12" s="1"/>
  <c r="H19" i="12"/>
  <c r="J18" i="12"/>
  <c r="K18" i="12" s="1"/>
  <c r="C18" i="12"/>
  <c r="H15" i="12"/>
  <c r="H16" i="12" s="1"/>
  <c r="G14" i="12"/>
  <c r="J14" i="12" s="1"/>
  <c r="K14" i="12" s="1"/>
  <c r="H13" i="12"/>
  <c r="F13" i="12"/>
  <c r="F15" i="12" s="1"/>
  <c r="F16" i="12" s="1"/>
  <c r="F49" i="12" s="1"/>
  <c r="F63" i="12" s="1"/>
  <c r="E13" i="12"/>
  <c r="E15" i="12" s="1"/>
  <c r="E16" i="12" s="1"/>
  <c r="E49" i="12" s="1"/>
  <c r="D13" i="12"/>
  <c r="D15" i="12" s="1"/>
  <c r="D16" i="12" s="1"/>
  <c r="D49" i="12" s="1"/>
  <c r="J12" i="12"/>
  <c r="K12" i="12" s="1"/>
  <c r="C12" i="12"/>
  <c r="I11" i="12"/>
  <c r="I13" i="12" s="1"/>
  <c r="I15" i="12" s="1"/>
  <c r="I16" i="12" s="1"/>
  <c r="H11" i="12"/>
  <c r="F11" i="12"/>
  <c r="E11" i="12"/>
  <c r="D11" i="12"/>
  <c r="C11" i="12"/>
  <c r="C13" i="12" s="1"/>
  <c r="C15" i="12" s="1"/>
  <c r="C16" i="12" s="1"/>
  <c r="B11" i="12"/>
  <c r="B13" i="12" s="1"/>
  <c r="G10" i="12"/>
  <c r="J10" i="12" s="1"/>
  <c r="K10" i="12" s="1"/>
  <c r="J9" i="12"/>
  <c r="K9" i="12" s="1"/>
  <c r="G8" i="12"/>
  <c r="K7" i="12"/>
  <c r="J7" i="12"/>
  <c r="B8" i="4" l="1"/>
  <c r="G8" i="4" s="1"/>
  <c r="G6" i="9"/>
  <c r="B15" i="12"/>
  <c r="H48" i="12"/>
  <c r="H49" i="12" s="1"/>
  <c r="H63" i="12" s="1"/>
  <c r="K29" i="12"/>
  <c r="J36" i="12"/>
  <c r="K32" i="12"/>
  <c r="K42" i="12"/>
  <c r="J29" i="12"/>
  <c r="K36" i="12"/>
  <c r="E58" i="12"/>
  <c r="E62" i="12" s="1"/>
  <c r="E63" i="12" s="1"/>
  <c r="K61" i="12"/>
  <c r="J32" i="12"/>
  <c r="J34" i="12"/>
  <c r="K34" i="12" s="1"/>
  <c r="G61" i="12"/>
  <c r="J61" i="12" s="1"/>
  <c r="J8" i="12"/>
  <c r="K8" i="12" s="1"/>
  <c r="K11" i="12"/>
  <c r="H29" i="12"/>
  <c r="J31" i="12"/>
  <c r="C48" i="12"/>
  <c r="K48" i="12" s="1"/>
  <c r="K53" i="12"/>
  <c r="J57" i="12"/>
  <c r="J19" i="12"/>
  <c r="K19" i="12" s="1"/>
  <c r="K31" i="12"/>
  <c r="K45" i="12"/>
  <c r="K60" i="12"/>
  <c r="I48" i="12"/>
  <c r="I49" i="12" s="1"/>
  <c r="I63" i="12" s="1"/>
  <c r="D57" i="12"/>
  <c r="D58" i="12" s="1"/>
  <c r="J35" i="12"/>
  <c r="K35" i="12" s="1"/>
  <c r="G11" i="12"/>
  <c r="J11" i="12" s="1"/>
  <c r="G48" i="12"/>
  <c r="J48" i="12" s="1"/>
  <c r="J39" i="12"/>
  <c r="K39" i="12" s="1"/>
  <c r="E57" i="12"/>
  <c r="D62" i="12" l="1"/>
  <c r="K58" i="12"/>
  <c r="K57" i="12"/>
  <c r="G13" i="12"/>
  <c r="G62" i="12"/>
  <c r="J62" i="12" s="1"/>
  <c r="B16" i="12"/>
  <c r="C49" i="12"/>
  <c r="C63" i="12" s="1"/>
  <c r="D63" i="12" l="1"/>
  <c r="K62" i="12"/>
  <c r="B49" i="12"/>
  <c r="G15" i="12"/>
  <c r="J13" i="12"/>
  <c r="K13" i="12" s="1"/>
  <c r="B63" i="12" l="1"/>
  <c r="J15" i="12"/>
  <c r="K15" i="12" s="1"/>
  <c r="G16" i="12"/>
  <c r="G49" i="12" l="1"/>
  <c r="J16" i="12"/>
  <c r="K16" i="12" s="1"/>
  <c r="G63" i="12" l="1"/>
  <c r="J63" i="12" s="1"/>
  <c r="K63" i="12" s="1"/>
  <c r="J49" i="12"/>
  <c r="K49" i="12" s="1"/>
  <c r="B63" i="1" l="1"/>
  <c r="B62" i="1"/>
  <c r="B61" i="1"/>
  <c r="B60" i="1"/>
  <c r="B59" i="1"/>
  <c r="B64" i="1" s="1"/>
  <c r="B54" i="1"/>
  <c r="B53" i="1"/>
  <c r="B52" i="1"/>
  <c r="B55" i="1" s="1"/>
  <c r="B49" i="1"/>
  <c r="B50" i="1" s="1"/>
  <c r="B42" i="1"/>
  <c r="B41" i="1"/>
  <c r="B40" i="1"/>
  <c r="B39" i="1"/>
  <c r="B38" i="1"/>
  <c r="B36" i="1"/>
  <c r="B35" i="1"/>
  <c r="B37" i="1" s="1"/>
  <c r="B33" i="1"/>
  <c r="B32" i="1"/>
  <c r="B31" i="1"/>
  <c r="B30" i="1"/>
  <c r="B34" i="1" s="1"/>
  <c r="B26" i="1"/>
  <c r="B27" i="1" s="1"/>
  <c r="B28" i="1" s="1"/>
  <c r="B25" i="1"/>
  <c r="B21" i="1"/>
  <c r="B22" i="1" s="1"/>
  <c r="B18" i="1"/>
  <c r="B19" i="1" s="1"/>
  <c r="B15" i="1"/>
  <c r="B14" i="1"/>
  <c r="B13" i="1"/>
  <c r="B12" i="1"/>
  <c r="B11" i="1"/>
  <c r="B16" i="1" s="1"/>
  <c r="B23" i="1" s="1"/>
  <c r="B10" i="1"/>
  <c r="M19" i="2"/>
  <c r="L19" i="2"/>
  <c r="L14" i="2"/>
  <c r="M13" i="2"/>
  <c r="L13" i="2"/>
  <c r="M9" i="2"/>
  <c r="L9" i="2"/>
  <c r="C64" i="2"/>
  <c r="E64" i="2" s="1"/>
  <c r="B64" i="2"/>
  <c r="D64" i="2" s="1"/>
  <c r="C63" i="2"/>
  <c r="E63" i="2" s="1"/>
  <c r="B62" i="2"/>
  <c r="E61" i="2"/>
  <c r="C61" i="2"/>
  <c r="D61" i="2" s="1"/>
  <c r="E60" i="2"/>
  <c r="D60" i="2"/>
  <c r="C60" i="2"/>
  <c r="C59" i="2"/>
  <c r="E59" i="2" s="1"/>
  <c r="B59" i="2"/>
  <c r="C58" i="2"/>
  <c r="E58" i="2" s="1"/>
  <c r="B58" i="2"/>
  <c r="C57" i="2"/>
  <c r="C62" i="2" s="1"/>
  <c r="E62" i="2" s="1"/>
  <c r="B56" i="2"/>
  <c r="C55" i="2"/>
  <c r="E55" i="2" s="1"/>
  <c r="B55" i="2"/>
  <c r="D55" i="2" s="1"/>
  <c r="C54" i="2"/>
  <c r="E54" i="2" s="1"/>
  <c r="E53" i="2"/>
  <c r="C53" i="2"/>
  <c r="B53" i="2"/>
  <c r="D53" i="2" s="1"/>
  <c r="E52" i="2"/>
  <c r="C52" i="2"/>
  <c r="D52" i="2" s="1"/>
  <c r="E51" i="2"/>
  <c r="D51" i="2"/>
  <c r="C51" i="2"/>
  <c r="B51" i="2"/>
  <c r="E50" i="2"/>
  <c r="D50" i="2"/>
  <c r="C50" i="2"/>
  <c r="B50" i="2"/>
  <c r="E49" i="2"/>
  <c r="D49" i="2"/>
  <c r="C49" i="2"/>
  <c r="C47" i="2"/>
  <c r="E47" i="2" s="1"/>
  <c r="B47" i="2"/>
  <c r="C46" i="2"/>
  <c r="E46" i="2" s="1"/>
  <c r="B46" i="2"/>
  <c r="B48" i="2" s="1"/>
  <c r="D48" i="2" s="1"/>
  <c r="C45" i="2"/>
  <c r="C48" i="2" s="1"/>
  <c r="E48" i="2" s="1"/>
  <c r="B44" i="2"/>
  <c r="C43" i="2"/>
  <c r="C44" i="2" s="1"/>
  <c r="E44" i="2" s="1"/>
  <c r="E42" i="2"/>
  <c r="D42" i="2"/>
  <c r="C42" i="2"/>
  <c r="E41" i="2"/>
  <c r="D41" i="2"/>
  <c r="C41" i="2"/>
  <c r="B41" i="2"/>
  <c r="E40" i="2"/>
  <c r="D40" i="2"/>
  <c r="C40" i="2"/>
  <c r="C38" i="2"/>
  <c r="E38" i="2" s="1"/>
  <c r="C37" i="2"/>
  <c r="E37" i="2" s="1"/>
  <c r="B37" i="2"/>
  <c r="D37" i="2" s="1"/>
  <c r="C36" i="2"/>
  <c r="E36" i="2" s="1"/>
  <c r="B36" i="2"/>
  <c r="D36" i="2" s="1"/>
  <c r="C35" i="2"/>
  <c r="E35" i="2" s="1"/>
  <c r="B35" i="2"/>
  <c r="D35" i="2" s="1"/>
  <c r="C34" i="2"/>
  <c r="C39" i="2" s="1"/>
  <c r="B34" i="2"/>
  <c r="B39" i="2" s="1"/>
  <c r="D39" i="2" s="1"/>
  <c r="C33" i="2"/>
  <c r="E33" i="2" s="1"/>
  <c r="E32" i="2"/>
  <c r="D32" i="2"/>
  <c r="C32" i="2"/>
  <c r="E31" i="2"/>
  <c r="D31" i="2"/>
  <c r="C31" i="2"/>
  <c r="C30" i="2"/>
  <c r="E30" i="2" s="1"/>
  <c r="C29" i="2"/>
  <c r="E29" i="2" s="1"/>
  <c r="B29" i="2"/>
  <c r="D29" i="2" s="1"/>
  <c r="C28" i="2"/>
  <c r="E28" i="2" s="1"/>
  <c r="E27" i="2"/>
  <c r="D27" i="2"/>
  <c r="C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C21" i="2"/>
  <c r="E21" i="2" s="1"/>
  <c r="C20" i="2"/>
  <c r="E20" i="2" s="1"/>
  <c r="B20" i="2"/>
  <c r="B65" i="2" s="1"/>
  <c r="C16" i="2"/>
  <c r="E16" i="2" s="1"/>
  <c r="B16" i="2"/>
  <c r="D16" i="2" s="1"/>
  <c r="C14" i="2"/>
  <c r="E14" i="2" s="1"/>
  <c r="B14" i="2"/>
  <c r="D14" i="2" s="1"/>
  <c r="C13" i="2"/>
  <c r="E13" i="2" s="1"/>
  <c r="B13" i="2"/>
  <c r="B15" i="2" s="1"/>
  <c r="C12" i="2"/>
  <c r="E12" i="2" s="1"/>
  <c r="B12" i="2"/>
  <c r="D12" i="2" s="1"/>
  <c r="C11" i="2"/>
  <c r="E11" i="2" s="1"/>
  <c r="E10" i="2"/>
  <c r="C10" i="2"/>
  <c r="D10" i="2" s="1"/>
  <c r="E9" i="2"/>
  <c r="D9" i="2"/>
  <c r="C9" i="2"/>
  <c r="B9" i="2"/>
  <c r="E8" i="2"/>
  <c r="D8" i="2"/>
  <c r="C8" i="2"/>
  <c r="B43" i="1" l="1"/>
  <c r="B44" i="1"/>
  <c r="B56" i="1"/>
  <c r="B57" i="1" s="1"/>
  <c r="B65" i="1" s="1"/>
  <c r="D44" i="2"/>
  <c r="B17" i="2"/>
  <c r="D62" i="2"/>
  <c r="E39" i="2"/>
  <c r="C15" i="2"/>
  <c r="D45" i="2"/>
  <c r="D47" i="2"/>
  <c r="C56" i="2"/>
  <c r="E56" i="2" s="1"/>
  <c r="D58" i="2"/>
  <c r="D38" i="2"/>
  <c r="D11" i="2"/>
  <c r="D13" i="2"/>
  <c r="D20" i="2"/>
  <c r="D34" i="2"/>
  <c r="D43" i="2"/>
  <c r="E45" i="2"/>
  <c r="D54" i="2"/>
  <c r="D63" i="2"/>
  <c r="E34" i="2"/>
  <c r="E43" i="2"/>
  <c r="D21" i="2"/>
  <c r="D30" i="2"/>
  <c r="D46" i="2"/>
  <c r="D57" i="2"/>
  <c r="D59" i="2"/>
  <c r="D28" i="2"/>
  <c r="D33" i="2"/>
  <c r="E57" i="2"/>
  <c r="M12" i="2"/>
  <c r="L12" i="2"/>
  <c r="E77" i="2"/>
  <c r="C77" i="2"/>
  <c r="C78" i="2" s="1"/>
  <c r="E78" i="2" s="1"/>
  <c r="B77" i="2"/>
  <c r="B78" i="2" s="1"/>
  <c r="D78" i="2" s="1"/>
  <c r="E73" i="2"/>
  <c r="D73" i="2"/>
  <c r="C73" i="2"/>
  <c r="B73" i="2"/>
  <c r="E72" i="2"/>
  <c r="C72" i="2"/>
  <c r="B72" i="2"/>
  <c r="D72" i="2" s="1"/>
  <c r="E71" i="2"/>
  <c r="D71" i="2"/>
  <c r="C71" i="2"/>
  <c r="B71" i="2"/>
  <c r="E70" i="2"/>
  <c r="C70" i="2"/>
  <c r="B70" i="2"/>
  <c r="D70" i="2" s="1"/>
  <c r="E69" i="2"/>
  <c r="D69" i="2"/>
  <c r="C69" i="2"/>
  <c r="C74" i="2" s="1"/>
  <c r="E74" i="2" s="1"/>
  <c r="E68" i="2"/>
  <c r="D68" i="2"/>
  <c r="C68" i="2"/>
  <c r="C75" i="2" s="1"/>
  <c r="B68" i="2"/>
  <c r="E15" i="2" l="1"/>
  <c r="C17" i="2"/>
  <c r="C65" i="2"/>
  <c r="B18" i="2"/>
  <c r="D17" i="2"/>
  <c r="D15" i="2"/>
  <c r="D56" i="2"/>
  <c r="C79" i="2"/>
  <c r="E79" i="2" s="1"/>
  <c r="E75" i="2"/>
  <c r="B74" i="2"/>
  <c r="D77" i="2"/>
  <c r="B66" i="2" l="1"/>
  <c r="E65" i="2"/>
  <c r="D65" i="2"/>
  <c r="C18" i="2"/>
  <c r="E17" i="2"/>
  <c r="B75" i="2"/>
  <c r="D74" i="2"/>
  <c r="P15" i="6"/>
  <c r="P13" i="6"/>
  <c r="E18" i="2" l="1"/>
  <c r="C66" i="2"/>
  <c r="E66" i="2" s="1"/>
  <c r="D18" i="2"/>
  <c r="D66" i="2"/>
  <c r="D75" i="2"/>
  <c r="B79" i="2"/>
  <c r="D79" i="2" s="1"/>
  <c r="L17" i="2"/>
  <c r="P14" i="6"/>
  <c r="P12" i="6"/>
  <c r="B80" i="2" l="1"/>
  <c r="M17" i="2"/>
  <c r="N14" i="2"/>
  <c r="N13" i="2"/>
  <c r="N12" i="2"/>
  <c r="C80" i="2" l="1"/>
  <c r="E80" i="2" s="1"/>
  <c r="N9" i="2"/>
  <c r="N17" i="2" s="1"/>
  <c r="G25" i="2"/>
  <c r="G24" i="2"/>
  <c r="D80" i="2" l="1"/>
  <c r="L21" i="2"/>
  <c r="H45" i="2"/>
  <c r="H29" i="2"/>
  <c r="H56" i="2"/>
  <c r="H49" i="2"/>
  <c r="G35" i="2"/>
  <c r="G34" i="2"/>
  <c r="N19" i="2" l="1"/>
  <c r="N21" i="2" s="1"/>
  <c r="M21" i="2"/>
  <c r="F37" i="2" l="1"/>
  <c r="H19" i="2" l="1"/>
  <c r="H65" i="2"/>
  <c r="H69" i="2" s="1"/>
  <c r="P23" i="6"/>
  <c r="P19" i="6"/>
  <c r="H64" i="2" l="1"/>
  <c r="G26" i="2" l="1"/>
  <c r="O15" i="6"/>
  <c r="O14" i="6"/>
  <c r="O13" i="6"/>
  <c r="O12" i="6"/>
  <c r="G36" i="2" l="1"/>
  <c r="H36" i="2" s="1"/>
  <c r="N23" i="6"/>
  <c r="I54" i="6"/>
  <c r="O19" i="6" l="1"/>
  <c r="I55" i="6"/>
  <c r="H68" i="2" l="1"/>
  <c r="H70" i="2" l="1"/>
  <c r="H72" i="2" s="1"/>
  <c r="N15" i="6"/>
  <c r="N14" i="6"/>
  <c r="N13" i="6"/>
  <c r="N12" i="6"/>
  <c r="Q23" i="5" l="1"/>
  <c r="Q20" i="5"/>
  <c r="Q16" i="5"/>
  <c r="Q11" i="5"/>
  <c r="P25" i="5"/>
  <c r="Q25" i="5" l="1"/>
  <c r="M23" i="6" l="1"/>
  <c r="AA18" i="6"/>
  <c r="M15" i="6"/>
  <c r="L15" i="6"/>
  <c r="R15" i="6" s="1"/>
  <c r="K15" i="6"/>
  <c r="J15" i="6"/>
  <c r="I15" i="6"/>
  <c r="H15" i="6"/>
  <c r="G15" i="6"/>
  <c r="F15" i="6"/>
  <c r="E15" i="6"/>
  <c r="M14" i="6"/>
  <c r="M19" i="6" s="1"/>
  <c r="L14" i="6"/>
  <c r="R14" i="6" s="1"/>
  <c r="K14" i="6"/>
  <c r="J14" i="6"/>
  <c r="I14" i="6"/>
  <c r="H14" i="6"/>
  <c r="G14" i="6"/>
  <c r="F14" i="6"/>
  <c r="E14" i="6"/>
  <c r="E19" i="6" s="1"/>
  <c r="M13" i="6"/>
  <c r="L13" i="6"/>
  <c r="R13" i="6" s="1"/>
  <c r="K13" i="6"/>
  <c r="J13" i="6"/>
  <c r="I13" i="6"/>
  <c r="H13" i="6"/>
  <c r="G13" i="6"/>
  <c r="F13" i="6"/>
  <c r="E13" i="6"/>
  <c r="M12" i="6"/>
  <c r="L12" i="6"/>
  <c r="R12" i="6" s="1"/>
  <c r="K12" i="6"/>
  <c r="J12" i="6"/>
  <c r="I12" i="6"/>
  <c r="H12" i="6"/>
  <c r="G12" i="6"/>
  <c r="F12" i="6"/>
  <c r="E12" i="6"/>
  <c r="E11" i="6"/>
  <c r="R11" i="6" s="1"/>
  <c r="K19" i="6" l="1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R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l="1"/>
  <c r="Q11" i="6"/>
  <c r="Q17" i="6" s="1"/>
</calcChain>
</file>

<file path=xl/sharedStrings.xml><?xml version="1.0" encoding="utf-8"?>
<sst xmlns="http://schemas.openxmlformats.org/spreadsheetml/2006/main" count="344" uniqueCount="249">
  <si>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</si>
  <si>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</si>
  <si>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</si>
  <si>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</si>
  <si>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</si>
  <si>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</si>
  <si>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</si>
  <si>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</si>
  <si>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</si>
  <si>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</si>
  <si>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</si>
  <si>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</si>
  <si>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</si>
  <si>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</si>
  <si>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</si>
  <si>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</si>
  <si>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</si>
  <si>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</si>
  <si>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</si>
  <si>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</si>
  <si>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</si>
  <si>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</si>
  <si>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</si>
  <si>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</si>
  <si>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</si>
  <si>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</si>
  <si>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</si>
  <si>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</si>
  <si>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</si>
  <si>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</si>
  <si>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</si>
  <si>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</si>
  <si>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</si>
  <si>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</si>
  <si>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</si>
  <si>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</si>
  <si>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</si>
  <si>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</si>
  <si>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</si>
  <si>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</si>
  <si>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</si>
  <si>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</si>
  <si>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</si>
  <si>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</si>
  <si>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</si>
  <si>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</si>
  <si>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</si>
  <si>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</si>
  <si>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</si>
  <si>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</si>
  <si>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</si>
  <si>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</si>
  <si>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</si>
  <si>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</si>
  <si>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</si>
  <si>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</si>
  <si>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</si>
  <si>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</si>
  <si>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</si>
  <si>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</si>
  <si>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</si>
  <si>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</si>
  <si>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</si>
  <si>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</si>
  <si>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</si>
  <si>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</si>
  <si>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</si>
  <si>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</si>
  <si>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</si>
  <si>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</si>
  <si>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</si>
  <si>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</si>
  <si>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</si>
  <si>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</si>
  <si>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</si>
  <si>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</si>
  <si>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</si>
  <si>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</si>
  <si>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</si>
  <si>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</si>
  <si>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</si>
  <si>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</si>
  <si>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</si>
  <si>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</si>
  <si>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</si>
  <si>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</si>
  <si>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</si>
  <si>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</si>
  <si>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</si>
  <si>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</si>
  <si>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</si>
  <si>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</si>
  <si>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</si>
  <si>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</si>
  <si>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</si>
  <si>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</si>
  <si>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</si>
  <si>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</si>
  <si>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</si>
  <si>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</si>
  <si>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</si>
  <si>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</si>
  <si>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</si>
  <si>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</si>
  <si>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</si>
  <si>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</si>
  <si>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</si>
  <si>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</si>
  <si>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</si>
  <si>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</si>
  <si>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</si>
  <si>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</si>
  <si>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</si>
  <si>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</si>
  <si>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</si>
  <si>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</si>
  <si>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</si>
  <si>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</si>
  <si>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</si>
  <si>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</si>
  <si>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</si>
  <si>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</si>
  <si>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</si>
  <si>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</si>
  <si>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</si>
  <si>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</si>
  <si>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</si>
  <si>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</si>
  <si>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</si>
  <si>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</si>
  <si>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</si>
  <si>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</si>
  <si>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</si>
  <si>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</si>
  <si>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</si>
  <si>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</si>
  <si>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</si>
  <si>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</si>
  <si>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</si>
  <si>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</si>
  <si>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</si>
  <si>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</si>
  <si>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</si>
  <si>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</si>
  <si>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</si>
  <si>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</si>
  <si>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</si>
  <si>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</si>
  <si>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</si>
  <si>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</si>
  <si>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</si>
  <si>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</si>
  <si>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</si>
  <si>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</si>
  <si>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</si>
  <si>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</si>
  <si>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</si>
  <si>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</si>
  <si>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</si>
  <si>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</si>
  <si>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</si>
  <si>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</si>
  <si>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</si>
  <si>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</si>
  <si>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</si>
  <si>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</si>
  <si>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</si>
  <si>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</si>
  <si>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</si>
  <si>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</si>
  <si>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</si>
  <si>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</si>
  <si>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</si>
  <si>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</si>
  <si>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</si>
  <si>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</si>
  <si>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</si>
  <si>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</si>
  <si>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</si>
  <si>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</si>
  <si>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</si>
  <si>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</si>
  <si>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</si>
  <si>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</si>
  <si>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</si>
  <si>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</si>
  <si>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</si>
  <si>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</si>
  <si>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</si>
  <si>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</si>
  <si>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</si>
  <si>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</si>
  <si>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</si>
  <si>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</si>
  <si>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</si>
  <si>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</si>
  <si>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</si>
  <si>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Mgmt &amp; Gen.</t>
  </si>
  <si>
    <t>Prog. Svs. Exp.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</si>
  <si>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</si>
  <si>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</si>
  <si>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</si>
  <si>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</si>
  <si>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</si>
  <si>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</si>
  <si>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</si>
  <si>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</si>
  <si>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</si>
  <si>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</si>
  <si>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</si>
  <si>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</si>
  <si>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</si>
  <si>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</si>
  <si>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payroll</t>
  </si>
  <si>
    <t>Custodial</t>
  </si>
  <si>
    <t>Revenue ahead</t>
  </si>
  <si>
    <t>Expense less than budget</t>
  </si>
  <si>
    <t>Fiduciary Technology Partners, LLC</t>
  </si>
  <si>
    <t xml:space="preserve">   60004 JCC/Ewing Property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</si>
  <si>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</si>
  <si>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</si>
  <si>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</si>
  <si>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</si>
  <si>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</si>
  <si>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</si>
  <si>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</si>
  <si>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</si>
  <si>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more expense than budget</t>
  </si>
  <si>
    <t xml:space="preserve">      43420 Fundraising Events Income</t>
  </si>
  <si>
    <t xml:space="preserve">   60005 Fundraising Events Expenses</t>
  </si>
  <si>
    <t xml:space="preserve">   Depreciation Expense</t>
  </si>
  <si>
    <t>Saturday, Aug 10, 2024 12:22:30 PM GMT-7 - Accrual Basis</t>
  </si>
  <si>
    <t>Fundraising Events Inc</t>
  </si>
  <si>
    <t>Fiscal 2025</t>
  </si>
  <si>
    <t>change</t>
  </si>
  <si>
    <t>FY 2013 - FY 2025</t>
  </si>
  <si>
    <t xml:space="preserve">      60905 Payroll Clearing Acct</t>
  </si>
  <si>
    <t>Statement of Activity by Class</t>
  </si>
  <si>
    <t>less revenue than budget</t>
  </si>
  <si>
    <t>7/1/2024 - 9/30/2024</t>
  </si>
  <si>
    <t>July 1, 2024 - September 30, 2024</t>
  </si>
  <si>
    <t>Asset Summary as of September 30, 2024</t>
  </si>
  <si>
    <t>09.30.2024</t>
  </si>
  <si>
    <t>As of September 30, 2024</t>
  </si>
  <si>
    <t>Sunday, Oct 20, 2024 12:29:18 PM GMT-7 - Accrual Basis</t>
  </si>
  <si>
    <t>July - September, 2024</t>
  </si>
  <si>
    <t>Sunday, Oct 20, 2024 12:26:27 PM GMT-7</t>
  </si>
  <si>
    <t>Sunday, Oct 20, 2024 12:30:19 PM GMT-7</t>
  </si>
  <si>
    <t>Sunday, Oct 20, 2024 12:30:51 PM GMT-7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</si>
</sst>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43" fontId="26" fillId="0" borderId="1" xfId="1" applyFont="1" applyBorder="1" applyAlignment="1">
      <alignment horizontal="center" wrapText="1"/>
    </xf>
    <xf numFmtId="167" fontId="3" fillId="0" borderId="0" xfId="1" applyNumberFormat="1" applyFont="1" applyBorder="1" applyAlignment="1">
      <alignment horizontal="right" wrapText="1"/>
    </xf>
    <xf numFmtId="43" fontId="12" fillId="0" borderId="0" xfId="1" quotePrefix="1" applyFont="1"/>
    <xf numFmtId="0" fontId="24" fillId="0" borderId="0" xfId="0" applyFont="1"/>
    <xf numFmtId="4" fontId="27" fillId="0" borderId="0" xfId="0" applyNumberFormat="1" applyFont="1"/>
    <xf numFmtId="43" fontId="19" fillId="0" borderId="1" xfId="1" applyFont="1" applyBorder="1"/>
    <xf numFmtId="8" fontId="28" fillId="0" borderId="0" xfId="0" applyNumberFormat="1" applyFont="1" applyAlignment="1">
      <alignment horizontal="left" vertical="center" wrapText="1" indent="2"/>
    </xf>
    <xf numFmtId="0" fontId="28" fillId="0" borderId="0" xfId="0" applyFont="1" applyAlignment="1">
      <alignment horizontal="left" vertical="center" wrapText="1" indent="2"/>
    </xf>
    <xf numFmtId="43" fontId="26" fillId="0" borderId="0" xfId="1" applyFont="1" applyBorder="1" applyAlignment="1">
      <alignment horizontal="center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0" borderId="0" xfId="0" applyFont="1" applyAlignment="1">
      <alignment horizontal="left" wrapText="1"/>
    </xf>
    <xf numFmtId="164" fontId="30" fillId="0" borderId="0" xfId="0" applyNumberFormat="1" applyFont="1" applyAlignment="1">
      <alignment wrapText="1"/>
    </xf>
    <xf numFmtId="164" fontId="30" fillId="0" borderId="0" xfId="0" applyNumberFormat="1" applyFont="1" applyAlignment="1">
      <alignment horizontal="right" wrapText="1"/>
    </xf>
    <xf numFmtId="165" fontId="29" fillId="0" borderId="2" xfId="0" applyNumberFormat="1" applyFont="1" applyBorder="1" applyAlignment="1">
      <alignment horizontal="right" wrapText="1"/>
    </xf>
    <xf numFmtId="0" fontId="30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167" fontId="25" fillId="0" borderId="0" xfId="1" applyNumberFormat="1" applyFont="1" applyAlignment="1">
      <alignment horizontal="right" wrapText="1"/>
    </xf>
    <xf numFmtId="167" fontId="22" fillId="0" borderId="0" xfId="1" applyNumberFormat="1" applyFont="1"/>
    <xf numFmtId="167" fontId="25" fillId="0" borderId="1" xfId="1" applyNumberFormat="1" applyFont="1" applyBorder="1" applyAlignment="1">
      <alignment horizontal="right" wrapText="1"/>
    </xf>
    <xf numFmtId="167" fontId="25" fillId="0" borderId="3" xfId="1" applyNumberFormat="1" applyFont="1" applyBorder="1" applyAlignment="1">
      <alignment horizontal="righ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kalstein\Jewish%20Community%20Foundation\Admin\Budget\Fiscal%202025\2024.08.31%20Financials%20for%20Sept%2030%20Board%20Meeting\JCFGM%20August%202024%20Financial%20Reports%20from%20Ann.xlsx" TargetMode="External"/><Relationship Id="rId1" Type="http://schemas.openxmlformats.org/officeDocument/2006/relationships/externalLinkPath" Target="/Users/jkalstein/Jewish%20Community%20Foundation/Admin/Budget/Fiscal%202025/2024.08.31%20Financials%20for%20Sept%2030%20Board%20Meeting/JCFGM%20August%202024%20Financial%20Reports%20from%20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of Financial Position"/>
      <sheetName val="Budget vs. Actuals"/>
      <sheetName val="L&amp;L Grinspoon"/>
      <sheetName val="A R Aging Summary"/>
      <sheetName val="A P Aging Summary"/>
    </sheetNames>
    <sheetDataSet>
      <sheetData sheetId="0" refreshError="1"/>
      <sheetData sheetId="1">
        <row r="9">
          <cell r="B9">
            <v>9636.14</v>
          </cell>
        </row>
        <row r="12">
          <cell r="B12">
            <v>44674.07</v>
          </cell>
          <cell r="C12">
            <v>41875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AA55"/>
  <sheetViews>
    <sheetView tabSelected="1" topLeftCell="B6" zoomScaleNormal="100" workbookViewId="0">
      <pane xSplit="3" ySplit="4" topLeftCell="E10" activePane="bottomRight" state="frozen"/>
      <selection activeCell="B6" sqref="B6"/>
      <selection pane="topRight" activeCell="E6" sqref="E6"/>
      <selection pane="bottomLeft" activeCell="B10" sqref="B10"/>
      <selection pane="bottomRight" activeCell="V8" sqref="V8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hidden="1" customWidth="1"/>
    <col min="6" max="6" width="11.28515625" style="22" hidden="1" customWidth="1"/>
    <col min="7" max="7" width="13.28515625" style="22" hidden="1" customWidth="1"/>
    <col min="8" max="8" width="12" style="22" hidden="1" customWidth="1"/>
    <col min="9" max="9" width="10.5703125" style="22" hidden="1" customWidth="1"/>
    <col min="10" max="10" width="13.85546875" style="22" hidden="1" customWidth="1"/>
    <col min="11" max="16" width="11.28515625" style="22" hidden="1" customWidth="1"/>
    <col min="17" max="17" width="9.42578125" style="22" customWidth="1"/>
    <col min="18" max="18" width="10.42578125" style="22" customWidth="1"/>
    <col min="19" max="19" width="1.28515625" style="22" customWidth="1"/>
    <col min="20" max="20" width="1.42578125" style="22" customWidth="1"/>
    <col min="21" max="25" width="15.7109375" style="22" customWidth="1"/>
    <col min="26" max="26" width="21.7109375" style="22" bestFit="1" customWidth="1"/>
    <col min="27" max="27" width="19.42578125" style="22" bestFit="1" customWidth="1"/>
    <col min="28" max="16384" width="9.140625" style="22"/>
  </cols>
  <sheetData>
    <row r="1" spans="1:27" s="36" customFormat="1" ht="26.25" customHeight="1" x14ac:dyDescent="0.2">
      <c r="A1" s="105" t="s">
        <v>133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7" s="36" customFormat="1" ht="26.25" customHeight="1" x14ac:dyDescent="0.2">
      <c r="A2" s="105" t="s">
        <v>134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27" s="36" customFormat="1" ht="26.25" x14ac:dyDescent="0.4">
      <c r="A3" s="106" t="s">
        <v>145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27" s="36" customFormat="1" ht="26.25" x14ac:dyDescent="0.4">
      <c r="A4" s="106" t="s">
        <v>146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27" s="36" customFormat="1" ht="26.25" x14ac:dyDescent="0.2">
      <c r="A5" s="107" t="s">
        <v>135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27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  <c r="R6" s="22"/>
    </row>
    <row r="7" spans="1:27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7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212</v>
      </c>
      <c r="Q8" s="39" t="s">
        <v>233</v>
      </c>
      <c r="R8" s="40" t="s">
        <v>235</v>
      </c>
      <c r="S8" s="41"/>
    </row>
    <row r="9" spans="1:27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22"/>
      <c r="R9" s="44"/>
      <c r="S9" s="45"/>
    </row>
    <row r="10" spans="1:27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7"/>
      <c r="R10" s="48"/>
      <c r="S10" s="45"/>
    </row>
    <row r="11" spans="1:27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1">
        <f>+P17</f>
        <v>18.057119140000005</v>
      </c>
      <c r="R11" s="52">
        <f>+E11</f>
        <v>6.7799264599999995</v>
      </c>
      <c r="S11" s="45"/>
      <c r="U11" s="58">
        <v>600000</v>
      </c>
      <c r="V11" s="36" t="s">
        <v>234</v>
      </c>
      <c r="W11" s="58"/>
    </row>
    <row r="12" spans="1:27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3172586/10^6</f>
        <v>3.1725859999999999</v>
      </c>
      <c r="Q12" s="51">
        <v>0.50018099999999999</v>
      </c>
      <c r="R12" s="52">
        <f>SUM(E12:Q12)</f>
        <v>20.04566599</v>
      </c>
      <c r="S12" s="45"/>
      <c r="U12" s="58">
        <v>500180.98</v>
      </c>
    </row>
    <row r="13" spans="1:27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-1753140/10^6</f>
        <v>-1.7531399999999999</v>
      </c>
      <c r="Q13" s="51">
        <v>-0.71511100000000005</v>
      </c>
      <c r="R13" s="52">
        <f>SUM(E13:Q13)</f>
        <v>-16.409339920000001</v>
      </c>
      <c r="S13" s="45"/>
      <c r="U13" s="58">
        <v>-715111.47</v>
      </c>
      <c r="Z13" s="36" t="s">
        <v>160</v>
      </c>
    </row>
    <row r="14" spans="1:27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2071824/10^6</f>
        <v>2.0718239999999999</v>
      </c>
      <c r="Q14" s="51">
        <v>1.0098609999999999</v>
      </c>
      <c r="R14" s="52">
        <f>SUM(E14:Q14)</f>
        <v>9.7394690399999995</v>
      </c>
      <c r="S14" s="45"/>
      <c r="U14" s="58">
        <v>1009860.9400000001</v>
      </c>
    </row>
    <row r="15" spans="1:27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-155388/10^6</f>
        <v>-0.155388</v>
      </c>
      <c r="Q15" s="101">
        <v>-4.4673999999999998E-2</v>
      </c>
      <c r="R15" s="86">
        <f>SUM(E15:Q15)</f>
        <v>-1.3483454300000004</v>
      </c>
      <c r="S15" s="55"/>
      <c r="U15" s="58">
        <v>-44674</v>
      </c>
      <c r="AA15" s="56">
        <v>-1242047.3999999999</v>
      </c>
    </row>
    <row r="16" spans="1:27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2"/>
      <c r="S16" s="45"/>
      <c r="Y16" s="36" t="s">
        <v>73</v>
      </c>
      <c r="Z16" s="58">
        <v>1638838.98</v>
      </c>
    </row>
    <row r="17" spans="1:27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18.057119140000005</v>
      </c>
      <c r="Q17" s="59">
        <f>+Q11+Q12+Q13+Q14+Q15</f>
        <v>18.807376140000006</v>
      </c>
      <c r="R17" s="60">
        <f>SUM(R11:R15)</f>
        <v>18.807376139999995</v>
      </c>
      <c r="S17" s="61"/>
      <c r="Y17" s="36" t="s">
        <v>72</v>
      </c>
      <c r="Z17" s="58"/>
    </row>
    <row r="18" spans="1:27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22"/>
      <c r="R18" s="63"/>
      <c r="S18" s="55"/>
      <c r="Y18" s="64" t="s">
        <v>71</v>
      </c>
      <c r="Z18" s="58">
        <v>297559.17</v>
      </c>
      <c r="AA18" s="65">
        <f>+Z18+Z20</f>
        <v>2009430.2699999998</v>
      </c>
    </row>
    <row r="19" spans="1:27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1.9164359999999998</v>
      </c>
      <c r="Q19" s="51"/>
      <c r="R19" s="51"/>
      <c r="Y19" s="64" t="s">
        <v>164</v>
      </c>
      <c r="Z19" s="58">
        <v>-75</v>
      </c>
    </row>
    <row r="20" spans="1:27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0.10613187990517957</v>
      </c>
      <c r="Q20" s="66"/>
      <c r="R20" s="66"/>
      <c r="Y20" s="36" t="s">
        <v>70</v>
      </c>
      <c r="Z20" s="58">
        <v>1711871.0999999999</v>
      </c>
    </row>
    <row r="21" spans="1:27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Y21" s="36" t="s">
        <v>69</v>
      </c>
      <c r="Z21" s="58">
        <v>-85190.720000000001</v>
      </c>
    </row>
    <row r="22" spans="1:27" ht="18.75" x14ac:dyDescent="0.3">
      <c r="A22" s="68"/>
      <c r="B22" s="69"/>
      <c r="Y22" s="22" t="s">
        <v>67</v>
      </c>
      <c r="Z22" s="56"/>
    </row>
    <row r="23" spans="1:27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R23" s="70"/>
      <c r="Y23" s="22" t="s">
        <v>66</v>
      </c>
      <c r="Z23" s="56"/>
    </row>
    <row r="24" spans="1:27" ht="15.75" thickTop="1" x14ac:dyDescent="0.25">
      <c r="Y24" s="22" t="s">
        <v>65</v>
      </c>
    </row>
    <row r="25" spans="1:27" x14ac:dyDescent="0.25">
      <c r="B25" s="36"/>
      <c r="Z25" s="56">
        <v>2320956.13</v>
      </c>
    </row>
    <row r="26" spans="1:27" x14ac:dyDescent="0.25">
      <c r="B26" s="36"/>
      <c r="Z26" s="56"/>
    </row>
    <row r="27" spans="1:27" x14ac:dyDescent="0.25">
      <c r="B27" s="36"/>
      <c r="Z27" s="56"/>
    </row>
    <row r="28" spans="1:27" x14ac:dyDescent="0.25">
      <c r="B28" s="36"/>
      <c r="Z28" s="56"/>
    </row>
    <row r="29" spans="1:27" x14ac:dyDescent="0.25">
      <c r="B29" s="36"/>
      <c r="Z29" s="56"/>
    </row>
    <row r="30" spans="1:27" x14ac:dyDescent="0.25">
      <c r="B30" s="36"/>
      <c r="Z30" s="56"/>
    </row>
    <row r="31" spans="1:27" x14ac:dyDescent="0.25">
      <c r="B31" s="36"/>
      <c r="Z31" s="56"/>
    </row>
    <row r="32" spans="1:27" x14ac:dyDescent="0.25">
      <c r="B32" s="36"/>
      <c r="Z32" s="56"/>
    </row>
    <row r="33" spans="2:26" x14ac:dyDescent="0.25">
      <c r="B33" s="36"/>
      <c r="Z33" s="56"/>
    </row>
    <row r="34" spans="2:26" x14ac:dyDescent="0.25">
      <c r="B34" s="36"/>
      <c r="Z34" s="56"/>
    </row>
    <row r="35" spans="2:26" x14ac:dyDescent="0.25">
      <c r="B35" s="36"/>
      <c r="Z35" s="56"/>
    </row>
    <row r="36" spans="2:26" x14ac:dyDescent="0.25">
      <c r="B36" s="36"/>
      <c r="Z36" s="56"/>
    </row>
    <row r="37" spans="2:26" x14ac:dyDescent="0.25">
      <c r="B37" s="36"/>
      <c r="Z37" s="56"/>
    </row>
    <row r="38" spans="2:26" x14ac:dyDescent="0.25">
      <c r="B38" s="36"/>
      <c r="Z38" s="56"/>
    </row>
    <row r="39" spans="2:26" x14ac:dyDescent="0.25">
      <c r="B39" s="36"/>
      <c r="Z39" s="56"/>
    </row>
    <row r="40" spans="2:26" x14ac:dyDescent="0.25">
      <c r="B40" s="36"/>
      <c r="Z40" s="56"/>
    </row>
    <row r="41" spans="2:26" x14ac:dyDescent="0.25">
      <c r="Z41" s="56"/>
    </row>
    <row r="43" spans="2:26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6" x14ac:dyDescent="0.25">
      <c r="B44"/>
      <c r="C44"/>
      <c r="D44"/>
      <c r="E44"/>
      <c r="F44"/>
      <c r="G44"/>
      <c r="H44"/>
      <c r="I44"/>
      <c r="J44"/>
    </row>
    <row r="45" spans="2:26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6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6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6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R1"/>
    <mergeCell ref="A2:R2"/>
    <mergeCell ref="A3:R3"/>
    <mergeCell ref="A4:R4"/>
    <mergeCell ref="A5:R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5" workbookViewId="0">
      <selection activeCell="F25" sqref="F25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28.28515625" style="6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08" t="s">
        <v>133</v>
      </c>
      <c r="C1" s="108"/>
      <c r="D1" s="108"/>
      <c r="E1" s="108"/>
      <c r="F1" s="108"/>
    </row>
    <row r="2" spans="2:32" ht="21" x14ac:dyDescent="0.25">
      <c r="B2" s="108" t="s">
        <v>134</v>
      </c>
      <c r="C2" s="108"/>
      <c r="D2" s="108"/>
      <c r="E2" s="108"/>
      <c r="F2" s="108"/>
    </row>
    <row r="3" spans="2:32" ht="21" customHeight="1" x14ac:dyDescent="0.25">
      <c r="B3" s="108" t="s">
        <v>241</v>
      </c>
      <c r="C3" s="108"/>
      <c r="D3" s="108"/>
      <c r="E3" s="108"/>
      <c r="F3" s="108"/>
    </row>
    <row r="4" spans="2:32" ht="18" customHeight="1" x14ac:dyDescent="0.25">
      <c r="B4" s="108" t="s">
        <v>135</v>
      </c>
      <c r="C4" s="108"/>
      <c r="D4" s="108"/>
      <c r="E4" s="108"/>
      <c r="F4" s="108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242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6207630.6000000006</v>
      </c>
      <c r="P11" s="21">
        <v>3201659</v>
      </c>
      <c r="Q11" s="21">
        <f>+F11-P11</f>
        <v>3005971.6000000006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211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6140973.8200000003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-1035069.1799999997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6178001.9699999997</v>
      </c>
      <c r="P20" s="21">
        <v>4752663</v>
      </c>
      <c r="Q20" s="21">
        <f>+F20-P20</f>
        <v>1425338.9699999997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347800.27999999997</v>
      </c>
      <c r="H23" s="98"/>
      <c r="I23" s="79"/>
      <c r="J23" s="79"/>
      <c r="K23" s="79"/>
      <c r="L23" s="79"/>
      <c r="P23" s="82">
        <v>496286</v>
      </c>
      <c r="Q23" s="82">
        <f>+F23-P23</f>
        <v>-148485.72000000003</v>
      </c>
    </row>
    <row r="24" spans="2:31" ht="12.95" customHeight="1" x14ac:dyDescent="0.25">
      <c r="B24" s="15"/>
      <c r="H24" s="91"/>
      <c r="I24" s="91"/>
      <c r="J24" s="91"/>
      <c r="K24" s="91"/>
      <c r="L24" s="91"/>
      <c r="X24" s="30"/>
    </row>
    <row r="25" spans="2:31" ht="15.75" thickBot="1" x14ac:dyDescent="0.3">
      <c r="B25" s="15" t="s">
        <v>140</v>
      </c>
      <c r="F25" s="31">
        <f>SUM(F11:F24)</f>
        <v>18874406.670000002</v>
      </c>
      <c r="H25" s="93" t="s">
        <v>208</v>
      </c>
      <c r="I25" s="93"/>
      <c r="J25" s="93"/>
      <c r="K25" s="93"/>
      <c r="L25" s="93"/>
      <c r="P25" s="31">
        <f>SUM(P11:P24)</f>
        <v>15626651</v>
      </c>
      <c r="Q25" s="31">
        <f>SUM(Q11:Q24)</f>
        <v>3247755.6700000004</v>
      </c>
    </row>
    <row r="26" spans="2:31" ht="18.75" thickTop="1" x14ac:dyDescent="0.25">
      <c r="B26" s="15"/>
      <c r="F26" s="32"/>
      <c r="H26" s="102"/>
      <c r="I26" s="34"/>
      <c r="J26" s="34"/>
      <c r="K26" s="34"/>
      <c r="L26" s="34"/>
    </row>
    <row r="27" spans="2:31" ht="18" x14ac:dyDescent="0.25">
      <c r="B27" s="15"/>
      <c r="F27" s="32"/>
      <c r="H27" s="103"/>
      <c r="I27" s="89"/>
      <c r="J27" s="89"/>
      <c r="K27" s="89"/>
      <c r="L27" s="89"/>
    </row>
    <row r="28" spans="2:31" x14ac:dyDescent="0.25">
      <c r="B28" s="15"/>
      <c r="F28" s="32"/>
      <c r="H28" s="33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opLeftCell="A26" workbookViewId="0">
      <selection activeCell="B39" sqref="B39"/>
    </sheetView>
  </sheetViews>
  <sheetFormatPr defaultRowHeight="15" x14ac:dyDescent="0.25"/>
  <cols>
    <col min="1" max="1" width="43.85546875" customWidth="1"/>
    <col min="2" max="2" width="24.85546875" customWidth="1"/>
    <col min="3" max="3" width="17.85546875" bestFit="1" customWidth="1"/>
  </cols>
  <sheetData>
    <row r="1" spans="1:2" ht="18" x14ac:dyDescent="0.25">
      <c r="A1" s="109" t="s">
        <v>59</v>
      </c>
      <c r="B1" s="110"/>
    </row>
    <row r="2" spans="1:2" ht="18" x14ac:dyDescent="0.25">
      <c r="A2" s="109" t="s">
        <v>60</v>
      </c>
      <c r="B2" s="110"/>
    </row>
    <row r="3" spans="1:2" x14ac:dyDescent="0.25">
      <c r="A3" s="111" t="s">
        <v>243</v>
      </c>
      <c r="B3" s="110"/>
    </row>
    <row r="4" spans="1:2" x14ac:dyDescent="0.25">
      <c r="B4" s="80"/>
    </row>
    <row r="5" spans="1:2" x14ac:dyDescent="0.25">
      <c r="A5" s="1"/>
      <c r="B5" s="96" t="s">
        <v>0</v>
      </c>
    </row>
    <row r="6" spans="1:2" x14ac:dyDescent="0.25">
      <c r="A6" s="1"/>
      <c r="B6" s="104"/>
    </row>
    <row r="7" spans="1:2" ht="36.75" customHeight="1" x14ac:dyDescent="0.25">
      <c r="A7" s="3" t="s">
        <v>1</v>
      </c>
      <c r="B7" s="2"/>
    </row>
    <row r="8" spans="1:2" x14ac:dyDescent="0.25">
      <c r="A8" s="3" t="s">
        <v>2</v>
      </c>
      <c r="B8" s="2"/>
    </row>
    <row r="9" spans="1:2" x14ac:dyDescent="0.25">
      <c r="A9" s="3" t="s">
        <v>3</v>
      </c>
      <c r="B9" s="2"/>
    </row>
    <row r="10" spans="1:2" x14ac:dyDescent="0.25">
      <c r="A10" s="3" t="s">
        <v>4</v>
      </c>
      <c r="B10" s="5">
        <f>0</f>
        <v>0</v>
      </c>
    </row>
    <row r="11" spans="1:2" x14ac:dyDescent="0.25">
      <c r="A11" s="3" t="s">
        <v>5</v>
      </c>
      <c r="B11" s="5">
        <f>309.37</f>
        <v>309.37</v>
      </c>
    </row>
    <row r="12" spans="1:2" x14ac:dyDescent="0.25">
      <c r="A12" s="3" t="s">
        <v>6</v>
      </c>
      <c r="B12" s="5">
        <f>5154.4</f>
        <v>5154.3999999999996</v>
      </c>
    </row>
    <row r="13" spans="1:2" x14ac:dyDescent="0.25">
      <c r="A13" s="3" t="s">
        <v>7</v>
      </c>
      <c r="B13" s="5">
        <f>32234.14</f>
        <v>32234.14</v>
      </c>
    </row>
    <row r="14" spans="1:2" x14ac:dyDescent="0.25">
      <c r="A14" s="3" t="s">
        <v>8</v>
      </c>
      <c r="B14" s="5">
        <f>707.78</f>
        <v>707.78</v>
      </c>
    </row>
    <row r="15" spans="1:2" x14ac:dyDescent="0.25">
      <c r="A15" s="3" t="s">
        <v>210</v>
      </c>
      <c r="B15" s="5">
        <f>75.74</f>
        <v>75.739999999999995</v>
      </c>
    </row>
    <row r="16" spans="1:2" x14ac:dyDescent="0.25">
      <c r="A16" s="3" t="s">
        <v>9</v>
      </c>
      <c r="B16" s="4">
        <f>(((((B10)+(B11))+(B12))+(B13))+(B14))+(B15)</f>
        <v>38481.429999999993</v>
      </c>
    </row>
    <row r="17" spans="1:2" x14ac:dyDescent="0.25">
      <c r="A17" s="3" t="s">
        <v>10</v>
      </c>
      <c r="B17" s="2"/>
    </row>
    <row r="18" spans="1:2" x14ac:dyDescent="0.25">
      <c r="A18" s="3" t="s">
        <v>11</v>
      </c>
      <c r="B18" s="5">
        <f>9999.99</f>
        <v>9999.99</v>
      </c>
    </row>
    <row r="19" spans="1:2" x14ac:dyDescent="0.25">
      <c r="A19" s="3" t="s">
        <v>12</v>
      </c>
      <c r="B19" s="4">
        <f>B18</f>
        <v>9999.99</v>
      </c>
    </row>
    <row r="20" spans="1:2" x14ac:dyDescent="0.25">
      <c r="A20" s="3" t="s">
        <v>13</v>
      </c>
      <c r="B20" s="2"/>
    </row>
    <row r="21" spans="1:2" x14ac:dyDescent="0.25">
      <c r="A21" s="3" t="s">
        <v>14</v>
      </c>
      <c r="B21" s="5">
        <f>0</f>
        <v>0</v>
      </c>
    </row>
    <row r="22" spans="1:2" x14ac:dyDescent="0.25">
      <c r="A22" s="3" t="s">
        <v>15</v>
      </c>
      <c r="B22" s="4">
        <f>B21</f>
        <v>0</v>
      </c>
    </row>
    <row r="23" spans="1:2" x14ac:dyDescent="0.25">
      <c r="A23" s="3" t="s">
        <v>16</v>
      </c>
      <c r="B23" s="4">
        <f>((B16)+(B19))+(B22)</f>
        <v>48481.419999999991</v>
      </c>
    </row>
    <row r="24" spans="1:2" x14ac:dyDescent="0.25">
      <c r="A24" s="3" t="s">
        <v>17</v>
      </c>
      <c r="B24" s="2"/>
    </row>
    <row r="25" spans="1:2" x14ac:dyDescent="0.25">
      <c r="A25" s="3" t="s">
        <v>18</v>
      </c>
      <c r="B25" s="5">
        <f>13827.97</f>
        <v>13827.97</v>
      </c>
    </row>
    <row r="26" spans="1:2" x14ac:dyDescent="0.25">
      <c r="A26" s="3" t="s">
        <v>19</v>
      </c>
      <c r="B26" s="5">
        <f>-4328.97</f>
        <v>-4328.97</v>
      </c>
    </row>
    <row r="27" spans="1:2" x14ac:dyDescent="0.25">
      <c r="A27" s="3" t="s">
        <v>20</v>
      </c>
      <c r="B27" s="4">
        <f>(B25)+(B26)</f>
        <v>9499</v>
      </c>
    </row>
    <row r="28" spans="1:2" x14ac:dyDescent="0.25">
      <c r="A28" s="3" t="s">
        <v>21</v>
      </c>
      <c r="B28" s="4">
        <f>B27</f>
        <v>9499</v>
      </c>
    </row>
    <row r="29" spans="1:2" x14ac:dyDescent="0.25">
      <c r="A29" s="3" t="s">
        <v>22</v>
      </c>
      <c r="B29" s="2"/>
    </row>
    <row r="30" spans="1:2" x14ac:dyDescent="0.25">
      <c r="A30" s="3" t="s">
        <v>23</v>
      </c>
      <c r="B30" s="5">
        <f>0</f>
        <v>0</v>
      </c>
    </row>
    <row r="31" spans="1:2" x14ac:dyDescent="0.25">
      <c r="A31" s="3" t="s">
        <v>24</v>
      </c>
      <c r="B31" s="5">
        <f>12742793.19</f>
        <v>12742793.189999999</v>
      </c>
    </row>
    <row r="32" spans="1:2" x14ac:dyDescent="0.25">
      <c r="A32" s="3" t="s">
        <v>25</v>
      </c>
      <c r="B32" s="5">
        <f>6122646.11</f>
        <v>6122646.1100000003</v>
      </c>
    </row>
    <row r="33" spans="1:3" x14ac:dyDescent="0.25">
      <c r="A33" s="3" t="s">
        <v>26</v>
      </c>
      <c r="B33" s="5">
        <f>6767.37</f>
        <v>6767.37</v>
      </c>
    </row>
    <row r="34" spans="1:3" x14ac:dyDescent="0.25">
      <c r="A34" s="3" t="s">
        <v>27</v>
      </c>
      <c r="B34" s="4">
        <f>(((B30)+(B31))+(B32))+(B33)</f>
        <v>18872206.670000002</v>
      </c>
      <c r="C34" s="81"/>
    </row>
    <row r="35" spans="1:3" x14ac:dyDescent="0.25">
      <c r="A35" s="3" t="s">
        <v>28</v>
      </c>
      <c r="B35" s="5">
        <f>-1140.64</f>
        <v>-1140.6400000000001</v>
      </c>
    </row>
    <row r="36" spans="1:3" x14ac:dyDescent="0.25">
      <c r="A36" s="3" t="s">
        <v>29</v>
      </c>
      <c r="B36" s="5">
        <f>1876</f>
        <v>1876</v>
      </c>
    </row>
    <row r="37" spans="1:3" x14ac:dyDescent="0.25">
      <c r="A37" s="3" t="s">
        <v>30</v>
      </c>
      <c r="B37" s="4">
        <f>(B35)+(B36)</f>
        <v>735.3599999999999</v>
      </c>
    </row>
    <row r="38" spans="1:3" x14ac:dyDescent="0.25">
      <c r="A38" s="3" t="s">
        <v>31</v>
      </c>
      <c r="B38" s="5">
        <f>70214.89</f>
        <v>70214.89</v>
      </c>
    </row>
    <row r="39" spans="1:3" x14ac:dyDescent="0.25">
      <c r="A39" s="3" t="s">
        <v>32</v>
      </c>
      <c r="B39" s="5">
        <f>4399.69</f>
        <v>4399.6899999999996</v>
      </c>
    </row>
    <row r="40" spans="1:3" x14ac:dyDescent="0.25">
      <c r="A40" s="3" t="s">
        <v>33</v>
      </c>
      <c r="B40" s="5">
        <f>0</f>
        <v>0</v>
      </c>
    </row>
    <row r="41" spans="1:3" x14ac:dyDescent="0.25">
      <c r="A41" s="3" t="s">
        <v>34</v>
      </c>
      <c r="B41" s="5">
        <f>0</f>
        <v>0</v>
      </c>
    </row>
    <row r="42" spans="1:3" x14ac:dyDescent="0.25">
      <c r="A42" s="3" t="s">
        <v>35</v>
      </c>
      <c r="B42" s="5">
        <f>0</f>
        <v>0</v>
      </c>
    </row>
    <row r="43" spans="1:3" x14ac:dyDescent="0.25">
      <c r="A43" s="3" t="s">
        <v>36</v>
      </c>
      <c r="B43" s="4">
        <f>((((((B34)+(B37))+(B38))+(B39))+(B40))+(B41))+(B42)</f>
        <v>18947556.610000003</v>
      </c>
    </row>
    <row r="44" spans="1:3" x14ac:dyDescent="0.25">
      <c r="A44" s="3" t="s">
        <v>37</v>
      </c>
      <c r="B44" s="4">
        <f>((B23)+(B28))+(B43)</f>
        <v>19005537.030000005</v>
      </c>
    </row>
    <row r="45" spans="1:3" x14ac:dyDescent="0.25">
      <c r="A45" s="3" t="s">
        <v>38</v>
      </c>
      <c r="B45" s="2"/>
    </row>
    <row r="46" spans="1:3" x14ac:dyDescent="0.25">
      <c r="A46" s="3" t="s">
        <v>39</v>
      </c>
      <c r="B46" s="2"/>
    </row>
    <row r="47" spans="1:3" x14ac:dyDescent="0.25">
      <c r="A47" s="3" t="s">
        <v>40</v>
      </c>
      <c r="B47" s="2"/>
    </row>
    <row r="48" spans="1:3" x14ac:dyDescent="0.25">
      <c r="A48" s="3" t="s">
        <v>41</v>
      </c>
      <c r="B48" s="2"/>
    </row>
    <row r="49" spans="1:2" x14ac:dyDescent="0.25">
      <c r="A49" s="3" t="s">
        <v>42</v>
      </c>
      <c r="B49" s="5">
        <f>4200</f>
        <v>4200</v>
      </c>
    </row>
    <row r="50" spans="1:2" x14ac:dyDescent="0.25">
      <c r="A50" s="3" t="s">
        <v>43</v>
      </c>
      <c r="B50" s="4">
        <f>B49</f>
        <v>4200</v>
      </c>
    </row>
    <row r="51" spans="1:2" x14ac:dyDescent="0.25">
      <c r="A51" s="3" t="s">
        <v>44</v>
      </c>
      <c r="B51" s="2"/>
    </row>
    <row r="52" spans="1:2" x14ac:dyDescent="0.25">
      <c r="A52" s="3" t="s">
        <v>45</v>
      </c>
      <c r="B52" s="5">
        <f>0</f>
        <v>0</v>
      </c>
    </row>
    <row r="53" spans="1:2" x14ac:dyDescent="0.25">
      <c r="A53" s="3" t="s">
        <v>46</v>
      </c>
      <c r="B53" s="5">
        <f>2000</f>
        <v>2000</v>
      </c>
    </row>
    <row r="54" spans="1:2" x14ac:dyDescent="0.25">
      <c r="A54" s="3" t="s">
        <v>47</v>
      </c>
      <c r="B54" s="5">
        <f>6137156.85</f>
        <v>6137156.8499999996</v>
      </c>
    </row>
    <row r="55" spans="1:2" x14ac:dyDescent="0.25">
      <c r="A55" s="3" t="s">
        <v>48</v>
      </c>
      <c r="B55" s="4">
        <f>((B52)+(B53))+(B54)</f>
        <v>6139156.8499999996</v>
      </c>
    </row>
    <row r="56" spans="1:2" x14ac:dyDescent="0.25">
      <c r="A56" s="3" t="s">
        <v>49</v>
      </c>
      <c r="B56" s="4">
        <f>(B50)+(B55)</f>
        <v>6143356.8499999996</v>
      </c>
    </row>
    <row r="57" spans="1:2" x14ac:dyDescent="0.25">
      <c r="A57" s="3" t="s">
        <v>50</v>
      </c>
      <c r="B57" s="4">
        <f>B56</f>
        <v>6143356.8499999996</v>
      </c>
    </row>
    <row r="58" spans="1:2" x14ac:dyDescent="0.25">
      <c r="A58" s="3" t="s">
        <v>51</v>
      </c>
      <c r="B58" s="2"/>
    </row>
    <row r="59" spans="1:2" x14ac:dyDescent="0.25">
      <c r="A59" s="3" t="s">
        <v>52</v>
      </c>
      <c r="B59" s="5">
        <f>3800186.96</f>
        <v>3800186.96</v>
      </c>
    </row>
    <row r="60" spans="1:2" x14ac:dyDescent="0.25">
      <c r="A60" s="3" t="s">
        <v>53</v>
      </c>
      <c r="B60" s="5">
        <f>4629794.91</f>
        <v>4629794.91</v>
      </c>
    </row>
    <row r="61" spans="1:2" x14ac:dyDescent="0.25">
      <c r="A61" s="3" t="s">
        <v>54</v>
      </c>
      <c r="B61" s="5">
        <f>761386.07</f>
        <v>761386.07</v>
      </c>
    </row>
    <row r="62" spans="1:2" x14ac:dyDescent="0.25">
      <c r="A62" s="3" t="s">
        <v>55</v>
      </c>
      <c r="B62" s="5">
        <f>3239843.47</f>
        <v>3239843.47</v>
      </c>
    </row>
    <row r="63" spans="1:2" x14ac:dyDescent="0.25">
      <c r="A63" s="3" t="s">
        <v>56</v>
      </c>
      <c r="B63" s="5">
        <f>430968.77</f>
        <v>430968.77</v>
      </c>
    </row>
    <row r="64" spans="1:2" x14ac:dyDescent="0.25">
      <c r="A64" s="3" t="s">
        <v>57</v>
      </c>
      <c r="B64" s="4">
        <f>((((B59)+(B60))+(B61))+(B62))+(B63)</f>
        <v>12862180.180000002</v>
      </c>
    </row>
    <row r="65" spans="1:3" x14ac:dyDescent="0.25">
      <c r="A65" s="3" t="s">
        <v>58</v>
      </c>
      <c r="B65" s="4">
        <f>(B57)+(B64)</f>
        <v>19005537.030000001</v>
      </c>
      <c r="C65" s="100"/>
    </row>
    <row r="66" spans="1:3" x14ac:dyDescent="0.25">
      <c r="A66" s="3"/>
      <c r="B66" s="2"/>
      <c r="C66" s="80"/>
    </row>
    <row r="67" spans="1:3" x14ac:dyDescent="0.25">
      <c r="A67" s="112" t="s">
        <v>61</v>
      </c>
      <c r="B67" s="112"/>
    </row>
    <row r="69" spans="1:3" x14ac:dyDescent="0.25">
      <c r="A69" s="113" t="s">
        <v>244</v>
      </c>
      <c r="B69" s="110"/>
    </row>
  </sheetData>
  <mergeCells count="5">
    <mergeCell ref="A69:B69"/>
    <mergeCell ref="A1:B1"/>
    <mergeCell ref="A2:B2"/>
    <mergeCell ref="A3:B3"/>
    <mergeCell ref="A67:B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5"/>
  <sheetViews>
    <sheetView topLeftCell="G8" zoomScale="120" zoomScaleNormal="120" workbookViewId="0">
      <selection activeCell="J17" sqref="J17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16.7109375" customWidth="1"/>
    <col min="12" max="13" width="11.5703125" bestFit="1" customWidth="1"/>
    <col min="14" max="14" width="9.7109375" bestFit="1" customWidth="1"/>
  </cols>
  <sheetData>
    <row r="1" spans="1:16" ht="18" x14ac:dyDescent="0.25">
      <c r="A1" s="109" t="s">
        <v>59</v>
      </c>
      <c r="B1" s="110"/>
      <c r="C1" s="110"/>
      <c r="D1" s="110"/>
      <c r="E1" s="110"/>
    </row>
    <row r="2" spans="1:16" ht="18" x14ac:dyDescent="0.25">
      <c r="A2" s="109" t="s">
        <v>186</v>
      </c>
      <c r="B2" s="110"/>
      <c r="C2" s="110"/>
      <c r="D2" s="110"/>
      <c r="E2" s="110"/>
    </row>
    <row r="3" spans="1:16" x14ac:dyDescent="0.25">
      <c r="A3" s="114" t="s">
        <v>239</v>
      </c>
      <c r="B3" s="110"/>
      <c r="C3" s="110"/>
      <c r="D3" s="110"/>
      <c r="E3" s="110"/>
    </row>
    <row r="4" spans="1:16" ht="21" x14ac:dyDescent="0.35">
      <c r="A4" s="99"/>
    </row>
    <row r="5" spans="1:16" x14ac:dyDescent="0.25">
      <c r="A5" s="1"/>
      <c r="B5" s="115" t="s">
        <v>0</v>
      </c>
      <c r="C5" s="116"/>
      <c r="D5" s="116"/>
      <c r="E5" s="116"/>
      <c r="K5" s="122" t="s">
        <v>240</v>
      </c>
      <c r="L5" s="122"/>
      <c r="M5" s="122"/>
      <c r="N5" s="122"/>
    </row>
    <row r="6" spans="1:16" ht="28.5" customHeight="1" thickBot="1" x14ac:dyDescent="0.3">
      <c r="A6" s="1"/>
      <c r="B6" s="83" t="s">
        <v>125</v>
      </c>
      <c r="C6" s="83" t="s">
        <v>124</v>
      </c>
      <c r="D6" s="83" t="s">
        <v>123</v>
      </c>
      <c r="E6" s="83" t="s">
        <v>122</v>
      </c>
      <c r="K6" s="123" t="s">
        <v>219</v>
      </c>
      <c r="L6" s="123"/>
      <c r="M6" s="123"/>
      <c r="N6" s="123"/>
    </row>
    <row r="7" spans="1:16" ht="28.5" customHeight="1" x14ac:dyDescent="0.25">
      <c r="A7" s="3" t="s">
        <v>121</v>
      </c>
      <c r="B7" s="2"/>
      <c r="C7" s="2"/>
      <c r="D7" s="2"/>
      <c r="E7" s="2"/>
      <c r="K7" s="124"/>
      <c r="L7" s="124"/>
      <c r="M7" s="124"/>
      <c r="N7" s="124"/>
    </row>
    <row r="8" spans="1:16" x14ac:dyDescent="0.25">
      <c r="A8" s="3" t="s">
        <v>120</v>
      </c>
      <c r="B8" s="2"/>
      <c r="C8" s="5">
        <f>0</f>
        <v>0</v>
      </c>
      <c r="D8" s="5">
        <f t="shared" ref="D8:D18" si="0">(B8)-(C8)</f>
        <v>0</v>
      </c>
      <c r="E8" s="87" t="str">
        <f t="shared" ref="E8:E18" si="1">IF(C8=0,"",(B8)/(C8))</f>
        <v/>
      </c>
      <c r="K8" s="85"/>
      <c r="L8" s="125" t="s">
        <v>125</v>
      </c>
      <c r="M8" s="125" t="s">
        <v>124</v>
      </c>
      <c r="N8" s="125" t="s">
        <v>181</v>
      </c>
    </row>
    <row r="9" spans="1:16" x14ac:dyDescent="0.25">
      <c r="A9" s="3" t="s">
        <v>119</v>
      </c>
      <c r="B9" s="5">
        <f>13672.95</f>
        <v>13672.95</v>
      </c>
      <c r="C9" s="5">
        <f>12000</f>
        <v>12000</v>
      </c>
      <c r="D9" s="5">
        <f t="shared" si="0"/>
        <v>1672.9500000000007</v>
      </c>
      <c r="E9" s="87">
        <f t="shared" si="1"/>
        <v>1.1394125000000002</v>
      </c>
      <c r="K9" s="85" t="s">
        <v>220</v>
      </c>
      <c r="L9" s="126">
        <f>+B9</f>
        <v>13672.95</v>
      </c>
      <c r="M9" s="126">
        <f>+C9</f>
        <v>12000</v>
      </c>
      <c r="N9" s="126">
        <f>+L9-M9</f>
        <v>1672.9500000000007</v>
      </c>
      <c r="O9" s="95"/>
      <c r="P9" s="95"/>
    </row>
    <row r="10" spans="1:16" x14ac:dyDescent="0.25">
      <c r="A10" s="3" t="s">
        <v>228</v>
      </c>
      <c r="B10" s="2"/>
      <c r="C10" s="5">
        <f>0</f>
        <v>0</v>
      </c>
      <c r="D10" s="5">
        <f t="shared" si="0"/>
        <v>0</v>
      </c>
      <c r="E10" s="87" t="str">
        <f t="shared" si="1"/>
        <v/>
      </c>
      <c r="K10" s="85" t="s">
        <v>232</v>
      </c>
      <c r="L10" s="126"/>
      <c r="M10" s="126"/>
      <c r="N10" s="126"/>
      <c r="O10" s="95"/>
      <c r="P10" s="95"/>
    </row>
    <row r="11" spans="1:16" x14ac:dyDescent="0.25">
      <c r="A11" s="3" t="s">
        <v>118</v>
      </c>
      <c r="B11" s="2"/>
      <c r="C11" s="5">
        <f>0</f>
        <v>0</v>
      </c>
      <c r="D11" s="5">
        <f t="shared" si="0"/>
        <v>0</v>
      </c>
      <c r="E11" s="87" t="str">
        <f t="shared" si="1"/>
        <v/>
      </c>
      <c r="K11" s="85"/>
      <c r="L11" s="127"/>
      <c r="M11" s="127"/>
      <c r="N11" s="127"/>
      <c r="O11" s="95"/>
      <c r="P11" s="95"/>
    </row>
    <row r="12" spans="1:16" x14ac:dyDescent="0.25">
      <c r="A12" s="3" t="s">
        <v>117</v>
      </c>
      <c r="B12" s="5">
        <f>44674.07</f>
        <v>44674.07</v>
      </c>
      <c r="C12" s="5">
        <f>41875</f>
        <v>41875</v>
      </c>
      <c r="D12" s="5">
        <f t="shared" si="0"/>
        <v>2799.0699999999997</v>
      </c>
      <c r="E12" s="87">
        <f t="shared" si="1"/>
        <v>1.0668434626865673</v>
      </c>
      <c r="K12" s="85" t="s">
        <v>222</v>
      </c>
      <c r="L12" s="126">
        <f>+'[3]Budget vs. Actuals'!$B$12</f>
        <v>44674.07</v>
      </c>
      <c r="M12" s="126">
        <f>+'[3]Budget vs. Actuals'!$C$12</f>
        <v>41875</v>
      </c>
      <c r="N12" s="126">
        <f>+L12-M12</f>
        <v>2799.0699999999997</v>
      </c>
      <c r="O12" s="95"/>
      <c r="P12" s="95"/>
    </row>
    <row r="13" spans="1:16" x14ac:dyDescent="0.25">
      <c r="A13" s="3" t="s">
        <v>187</v>
      </c>
      <c r="B13" s="4">
        <f>(B11)+(B12)</f>
        <v>44674.07</v>
      </c>
      <c r="C13" s="4">
        <f>(C11)+(C12)</f>
        <v>41875</v>
      </c>
      <c r="D13" s="4">
        <f t="shared" si="0"/>
        <v>2799.0699999999997</v>
      </c>
      <c r="E13" s="88">
        <f t="shared" si="1"/>
        <v>1.0668434626865673</v>
      </c>
      <c r="K13" s="85" t="s">
        <v>223</v>
      </c>
      <c r="L13" s="126">
        <f>+B14</f>
        <v>9999.99</v>
      </c>
      <c r="M13" s="126">
        <f>+C14</f>
        <v>9999.99</v>
      </c>
      <c r="N13" s="126">
        <f>+L13-M13</f>
        <v>0</v>
      </c>
      <c r="O13" s="95"/>
      <c r="P13" s="95"/>
    </row>
    <row r="14" spans="1:16" x14ac:dyDescent="0.25">
      <c r="A14" s="3" t="s">
        <v>188</v>
      </c>
      <c r="B14" s="5">
        <f>9999.99</f>
        <v>9999.99</v>
      </c>
      <c r="C14" s="5">
        <f>9999.99</f>
        <v>9999.99</v>
      </c>
      <c r="D14" s="5">
        <f t="shared" si="0"/>
        <v>0</v>
      </c>
      <c r="E14" s="87">
        <f t="shared" si="1"/>
        <v>1</v>
      </c>
      <c r="H14" s="76"/>
      <c r="K14" s="125" t="s">
        <v>224</v>
      </c>
      <c r="L14" s="128">
        <f>+B16</f>
        <v>191.94</v>
      </c>
      <c r="M14" s="128">
        <v>0</v>
      </c>
      <c r="N14" s="128">
        <f>+L14-M14</f>
        <v>191.94</v>
      </c>
      <c r="O14" s="95"/>
      <c r="P14" s="95"/>
    </row>
    <row r="15" spans="1:16" x14ac:dyDescent="0.25">
      <c r="A15" s="3" t="s">
        <v>116</v>
      </c>
      <c r="B15" s="4">
        <f>((((B8)+(B9))+(B10))+(B13))+(B14)</f>
        <v>68347.010000000009</v>
      </c>
      <c r="C15" s="4">
        <f>((((C8)+(C9))+(C10))+(C13))+(C14)</f>
        <v>63874.99</v>
      </c>
      <c r="D15" s="4">
        <f t="shared" si="0"/>
        <v>4472.0200000000114</v>
      </c>
      <c r="E15" s="88">
        <f t="shared" si="1"/>
        <v>1.0700120657553138</v>
      </c>
      <c r="K15" s="85"/>
      <c r="L15" s="126"/>
      <c r="M15" s="126"/>
      <c r="N15" s="126"/>
      <c r="O15" s="95"/>
      <c r="P15" s="95"/>
    </row>
    <row r="16" spans="1:16" x14ac:dyDescent="0.25">
      <c r="A16" s="3" t="s">
        <v>115</v>
      </c>
      <c r="B16" s="5">
        <f>191.94</f>
        <v>191.94</v>
      </c>
      <c r="C16" s="5">
        <f>0</f>
        <v>0</v>
      </c>
      <c r="D16" s="5">
        <f t="shared" si="0"/>
        <v>191.94</v>
      </c>
      <c r="E16" s="87" t="str">
        <f t="shared" si="1"/>
        <v/>
      </c>
      <c r="K16" s="85"/>
      <c r="L16" s="126"/>
      <c r="M16" s="126"/>
      <c r="N16" s="126"/>
      <c r="O16" s="95"/>
      <c r="P16" s="95"/>
    </row>
    <row r="17" spans="1:16" x14ac:dyDescent="0.25">
      <c r="A17" s="3" t="s">
        <v>114</v>
      </c>
      <c r="B17" s="4">
        <f>(B15)+(B16)</f>
        <v>68538.950000000012</v>
      </c>
      <c r="C17" s="4">
        <f>(C15)+(C16)</f>
        <v>63874.99</v>
      </c>
      <c r="D17" s="4">
        <f t="shared" si="0"/>
        <v>4663.9600000000137</v>
      </c>
      <c r="E17" s="88">
        <f t="shared" si="1"/>
        <v>1.0730169977326025</v>
      </c>
      <c r="K17" s="85" t="s">
        <v>221</v>
      </c>
      <c r="L17" s="126">
        <f>+L9+L12+L13+L14+L10</f>
        <v>68538.950000000012</v>
      </c>
      <c r="M17" s="126">
        <f t="shared" ref="M17:N17" si="2">+M9+M12+M13+M14</f>
        <v>63874.99</v>
      </c>
      <c r="N17" s="126">
        <f t="shared" si="2"/>
        <v>4663.96</v>
      </c>
      <c r="O17" s="95"/>
      <c r="P17" s="95"/>
    </row>
    <row r="18" spans="1:16" x14ac:dyDescent="0.25">
      <c r="A18" s="3" t="s">
        <v>113</v>
      </c>
      <c r="B18" s="4">
        <f>(B17)-(0)</f>
        <v>68538.950000000012</v>
      </c>
      <c r="C18" s="4">
        <f>(C17)-(0)</f>
        <v>63874.99</v>
      </c>
      <c r="D18" s="4">
        <f t="shared" si="0"/>
        <v>4663.9600000000137</v>
      </c>
      <c r="E18" s="88">
        <f t="shared" si="1"/>
        <v>1.0730169977326025</v>
      </c>
      <c r="K18" s="85"/>
      <c r="L18" s="127"/>
      <c r="M18" s="127"/>
      <c r="N18" s="127"/>
      <c r="O18" s="95"/>
      <c r="P18" s="95"/>
    </row>
    <row r="19" spans="1:16" x14ac:dyDescent="0.25">
      <c r="A19" s="3" t="s">
        <v>112</v>
      </c>
      <c r="B19" s="2"/>
      <c r="C19" s="2"/>
      <c r="D19" s="2"/>
      <c r="E19" s="2"/>
      <c r="H19" s="76">
        <f>+D18</f>
        <v>4663.9600000000137</v>
      </c>
      <c r="I19" t="s">
        <v>238</v>
      </c>
      <c r="K19" s="85" t="s">
        <v>225</v>
      </c>
      <c r="L19" s="128">
        <f>+B65</f>
        <v>59287.11</v>
      </c>
      <c r="M19" s="128">
        <f>+C65</f>
        <v>61208.959999999999</v>
      </c>
      <c r="N19" s="128">
        <f>+M19-L19</f>
        <v>1921.8499999999985</v>
      </c>
      <c r="O19" s="95"/>
      <c r="P19" s="95"/>
    </row>
    <row r="20" spans="1:16" x14ac:dyDescent="0.25">
      <c r="A20" s="3" t="s">
        <v>182</v>
      </c>
      <c r="B20" s="5">
        <f>600</f>
        <v>600</v>
      </c>
      <c r="C20" s="5">
        <f>1250.01</f>
        <v>1250.01</v>
      </c>
      <c r="D20" s="5">
        <f t="shared" ref="D20:D66" si="3">(B20)-(C20)</f>
        <v>-650.01</v>
      </c>
      <c r="E20" s="87">
        <f t="shared" ref="E20:E66" si="4">IF(C20=0,"",(B20)/(C20))</f>
        <v>0.47999616003071977</v>
      </c>
      <c r="K20" s="85"/>
      <c r="L20" s="126"/>
      <c r="M20" s="126"/>
      <c r="N20" s="126"/>
      <c r="O20" s="95"/>
      <c r="P20" s="95"/>
    </row>
    <row r="21" spans="1:16" ht="15.75" thickBot="1" x14ac:dyDescent="0.3">
      <c r="A21" s="3" t="s">
        <v>189</v>
      </c>
      <c r="B21" s="2"/>
      <c r="C21" s="5">
        <f>3000</f>
        <v>3000</v>
      </c>
      <c r="D21" s="5">
        <f t="shared" si="3"/>
        <v>-3000</v>
      </c>
      <c r="E21" s="87">
        <f t="shared" si="4"/>
        <v>0</v>
      </c>
      <c r="K21" s="85" t="s">
        <v>226</v>
      </c>
      <c r="L21" s="129">
        <f>+L17-L19</f>
        <v>9251.8400000000111</v>
      </c>
      <c r="M21" s="129">
        <f t="shared" ref="M21" si="5">+M17-M19</f>
        <v>2666.0299999999988</v>
      </c>
      <c r="N21" s="129">
        <f>+N17+N19</f>
        <v>6585.8099999999986</v>
      </c>
      <c r="O21" s="95"/>
      <c r="P21" s="95"/>
    </row>
    <row r="22" spans="1:16" ht="15.75" thickTop="1" x14ac:dyDescent="0.25">
      <c r="A22" s="3" t="s">
        <v>209</v>
      </c>
      <c r="B22" s="2"/>
      <c r="C22" s="5">
        <f>500.01</f>
        <v>500.01</v>
      </c>
      <c r="D22" s="5">
        <f t="shared" si="3"/>
        <v>-500.01</v>
      </c>
      <c r="E22" s="87">
        <f t="shared" si="4"/>
        <v>0</v>
      </c>
      <c r="L22" s="94"/>
      <c r="M22" s="94"/>
      <c r="N22" s="94"/>
      <c r="O22" s="95"/>
      <c r="P22" s="95"/>
    </row>
    <row r="23" spans="1:16" x14ac:dyDescent="0.25">
      <c r="A23" s="3" t="s">
        <v>111</v>
      </c>
      <c r="B23" s="5">
        <f>385.86</f>
        <v>385.86</v>
      </c>
      <c r="C23" s="5">
        <f>249.99</f>
        <v>249.99</v>
      </c>
      <c r="D23" s="5">
        <f t="shared" si="3"/>
        <v>135.87</v>
      </c>
      <c r="E23" s="87">
        <f t="shared" si="4"/>
        <v>1.5435017400696027</v>
      </c>
      <c r="L23" s="94"/>
      <c r="M23" s="94"/>
      <c r="N23" s="94"/>
      <c r="O23" s="95"/>
      <c r="P23" s="95"/>
    </row>
    <row r="24" spans="1:16" x14ac:dyDescent="0.25">
      <c r="A24" s="3" t="s">
        <v>110</v>
      </c>
      <c r="B24" s="5">
        <f>300</f>
        <v>300</v>
      </c>
      <c r="C24" s="5">
        <f>300</f>
        <v>300</v>
      </c>
      <c r="D24" s="5">
        <f t="shared" si="3"/>
        <v>0</v>
      </c>
      <c r="E24" s="87">
        <f t="shared" si="4"/>
        <v>1</v>
      </c>
      <c r="F24" t="s">
        <v>203</v>
      </c>
      <c r="G24" s="78">
        <f>SUM(B20:B33)</f>
        <v>12818.560000000001</v>
      </c>
      <c r="L24" s="97"/>
      <c r="M24" s="97"/>
      <c r="N24" s="94"/>
      <c r="O24" s="95"/>
      <c r="P24" s="95"/>
    </row>
    <row r="25" spans="1:16" x14ac:dyDescent="0.25">
      <c r="A25" s="3" t="s">
        <v>109</v>
      </c>
      <c r="B25" s="5">
        <f>3257</f>
        <v>3257</v>
      </c>
      <c r="C25" s="5">
        <f>875.01</f>
        <v>875.01</v>
      </c>
      <c r="D25" s="5">
        <f t="shared" si="3"/>
        <v>2381.9899999999998</v>
      </c>
      <c r="E25" s="87">
        <f t="shared" si="4"/>
        <v>3.7222431743637214</v>
      </c>
      <c r="F25" t="s">
        <v>204</v>
      </c>
      <c r="G25" s="78">
        <f>SUM(C20:C34)</f>
        <v>14875.050000000001</v>
      </c>
      <c r="L25" s="97"/>
      <c r="M25" s="97"/>
      <c r="N25" s="94"/>
      <c r="O25" s="95"/>
      <c r="P25" s="95"/>
    </row>
    <row r="26" spans="1:16" x14ac:dyDescent="0.25">
      <c r="A26" s="3" t="s">
        <v>218</v>
      </c>
      <c r="B26" s="5">
        <f>275.7</f>
        <v>275.7</v>
      </c>
      <c r="C26" s="5">
        <f>0</f>
        <v>0</v>
      </c>
      <c r="D26" s="5">
        <f t="shared" si="3"/>
        <v>275.7</v>
      </c>
      <c r="E26" s="87" t="str">
        <f t="shared" si="4"/>
        <v/>
      </c>
      <c r="G26" s="75">
        <f>+G25-G24</f>
        <v>2056.4899999999998</v>
      </c>
      <c r="L26" s="97"/>
      <c r="M26" s="97"/>
      <c r="N26" s="94"/>
      <c r="O26" s="95"/>
      <c r="P26" s="95"/>
    </row>
    <row r="27" spans="1:16" x14ac:dyDescent="0.25">
      <c r="A27" s="3" t="s">
        <v>229</v>
      </c>
      <c r="B27" s="2"/>
      <c r="C27" s="5">
        <f>0</f>
        <v>0</v>
      </c>
      <c r="D27" s="5">
        <f t="shared" si="3"/>
        <v>0</v>
      </c>
      <c r="E27" s="87" t="str">
        <f t="shared" si="4"/>
        <v/>
      </c>
      <c r="G27" s="75"/>
      <c r="L27" s="97"/>
      <c r="M27" s="97"/>
      <c r="N27" s="94"/>
      <c r="O27" s="95"/>
      <c r="P27" s="95"/>
    </row>
    <row r="28" spans="1:16" x14ac:dyDescent="0.25">
      <c r="A28" s="3" t="s">
        <v>108</v>
      </c>
      <c r="B28" s="2"/>
      <c r="C28" s="5">
        <f>624.99</f>
        <v>624.99</v>
      </c>
      <c r="D28" s="5">
        <f t="shared" si="3"/>
        <v>-624.99</v>
      </c>
      <c r="E28" s="87">
        <f t="shared" si="4"/>
        <v>0</v>
      </c>
      <c r="G28" s="75"/>
      <c r="L28" s="97"/>
      <c r="M28" s="97"/>
      <c r="N28" s="94"/>
      <c r="O28" s="95"/>
      <c r="P28" s="95"/>
    </row>
    <row r="29" spans="1:16" x14ac:dyDescent="0.25">
      <c r="A29" s="3" t="s">
        <v>207</v>
      </c>
      <c r="B29" s="5">
        <f>8000</f>
        <v>8000</v>
      </c>
      <c r="C29" s="5">
        <f>6500.01</f>
        <v>6500.01</v>
      </c>
      <c r="D29" s="5">
        <f t="shared" si="3"/>
        <v>1499.9899999999998</v>
      </c>
      <c r="E29" s="87">
        <f t="shared" si="4"/>
        <v>1.2307673372810195</v>
      </c>
      <c r="G29" s="77"/>
      <c r="H29" s="80">
        <f>+D20+D21+D22+D23+D24+D25+D26+D29+D30+D31+D32+D33+D28</f>
        <v>-1156.4900000000009</v>
      </c>
      <c r="I29" t="s">
        <v>227</v>
      </c>
      <c r="L29" s="97"/>
      <c r="M29" s="97"/>
      <c r="N29" s="94"/>
    </row>
    <row r="30" spans="1:16" x14ac:dyDescent="0.25">
      <c r="A30" s="3" t="s">
        <v>107</v>
      </c>
      <c r="B30" s="2"/>
      <c r="C30" s="5">
        <f>50.01</f>
        <v>50.01</v>
      </c>
      <c r="D30" s="5">
        <f t="shared" si="3"/>
        <v>-50.01</v>
      </c>
      <c r="E30" s="87">
        <f t="shared" si="4"/>
        <v>0</v>
      </c>
      <c r="L30" s="97"/>
      <c r="M30" s="97"/>
      <c r="N30" s="94"/>
    </row>
    <row r="31" spans="1:16" x14ac:dyDescent="0.25">
      <c r="A31" s="3" t="s">
        <v>106</v>
      </c>
      <c r="B31" s="2"/>
      <c r="C31" s="5">
        <f>500.01</f>
        <v>500.01</v>
      </c>
      <c r="D31" s="5">
        <f t="shared" si="3"/>
        <v>-500.01</v>
      </c>
      <c r="E31" s="87">
        <f t="shared" si="4"/>
        <v>0</v>
      </c>
      <c r="L31" s="97"/>
      <c r="M31" s="97"/>
      <c r="N31" s="94"/>
    </row>
    <row r="32" spans="1:16" x14ac:dyDescent="0.25">
      <c r="A32" s="3" t="s">
        <v>105</v>
      </c>
      <c r="B32" s="2"/>
      <c r="C32" s="5">
        <f>125.01</f>
        <v>125.01</v>
      </c>
      <c r="D32" s="5">
        <f t="shared" si="3"/>
        <v>-125.01</v>
      </c>
      <c r="E32" s="87">
        <f t="shared" si="4"/>
        <v>0</v>
      </c>
      <c r="L32" s="97"/>
      <c r="M32" s="97"/>
      <c r="N32" s="94"/>
    </row>
    <row r="33" spans="1:12" x14ac:dyDescent="0.25">
      <c r="A33" s="3" t="s">
        <v>104</v>
      </c>
      <c r="B33" s="2"/>
      <c r="C33" s="5">
        <f>0</f>
        <v>0</v>
      </c>
      <c r="D33" s="5">
        <f t="shared" si="3"/>
        <v>0</v>
      </c>
      <c r="E33" s="87" t="str">
        <f t="shared" si="4"/>
        <v/>
      </c>
      <c r="G33" t="s">
        <v>213</v>
      </c>
    </row>
    <row r="34" spans="1:12" x14ac:dyDescent="0.25">
      <c r="A34" s="3" t="s">
        <v>103</v>
      </c>
      <c r="B34" s="5">
        <f>8277</f>
        <v>8277</v>
      </c>
      <c r="C34" s="5">
        <f>900</f>
        <v>900</v>
      </c>
      <c r="D34" s="5">
        <f t="shared" si="3"/>
        <v>7377</v>
      </c>
      <c r="E34" s="87">
        <f t="shared" si="4"/>
        <v>9.1966666666666672</v>
      </c>
      <c r="F34" t="s">
        <v>203</v>
      </c>
      <c r="G34" s="80">
        <f>SUM(B34:B37)</f>
        <v>36442.699999999997</v>
      </c>
    </row>
    <row r="35" spans="1:12" x14ac:dyDescent="0.25">
      <c r="A35" s="3" t="s">
        <v>102</v>
      </c>
      <c r="B35" s="5">
        <f>25186.55</f>
        <v>25186.55</v>
      </c>
      <c r="C35" s="5">
        <f>33280.84</f>
        <v>33280.839999999997</v>
      </c>
      <c r="D35" s="5">
        <f t="shared" si="3"/>
        <v>-8094.2899999999972</v>
      </c>
      <c r="E35" s="87">
        <f t="shared" si="4"/>
        <v>0.75678829019940608</v>
      </c>
      <c r="F35" t="s">
        <v>204</v>
      </c>
      <c r="G35" s="80">
        <f>SUM(C34:C37)</f>
        <v>37758.92</v>
      </c>
      <c r="H35" s="78"/>
      <c r="L35" s="97"/>
    </row>
    <row r="36" spans="1:12" x14ac:dyDescent="0.25">
      <c r="A36" s="3" t="s">
        <v>101</v>
      </c>
      <c r="B36" s="5">
        <f>245.88</f>
        <v>245.88</v>
      </c>
      <c r="C36" s="5">
        <f>249.99</f>
        <v>249.99</v>
      </c>
      <c r="D36" s="5">
        <f t="shared" si="3"/>
        <v>-4.1100000000000136</v>
      </c>
      <c r="E36" s="87">
        <f t="shared" si="4"/>
        <v>0.98355934237369491</v>
      </c>
      <c r="G36" s="80">
        <f>+G34-G35</f>
        <v>-1316.2200000000012</v>
      </c>
      <c r="H36" s="81">
        <f>+G36</f>
        <v>-1316.2200000000012</v>
      </c>
      <c r="I36" t="s">
        <v>227</v>
      </c>
      <c r="L36" s="97"/>
    </row>
    <row r="37" spans="1:12" x14ac:dyDescent="0.25">
      <c r="A37" s="3" t="s">
        <v>100</v>
      </c>
      <c r="B37" s="5">
        <f>2733.27</f>
        <v>2733.27</v>
      </c>
      <c r="C37" s="5">
        <f>3328.09</f>
        <v>3328.09</v>
      </c>
      <c r="D37" s="5">
        <f t="shared" si="3"/>
        <v>-594.82000000000016</v>
      </c>
      <c r="E37" s="87">
        <f t="shared" si="4"/>
        <v>0.82127286221225981</v>
      </c>
      <c r="F37">
        <f>250*4</f>
        <v>1000</v>
      </c>
      <c r="G37" s="80"/>
    </row>
    <row r="38" spans="1:12" x14ac:dyDescent="0.25">
      <c r="A38" s="3" t="s">
        <v>236</v>
      </c>
      <c r="B38" s="2"/>
      <c r="C38" s="5">
        <f>0</f>
        <v>0</v>
      </c>
      <c r="D38" s="5">
        <f t="shared" si="3"/>
        <v>0</v>
      </c>
      <c r="E38" s="87" t="str">
        <f t="shared" si="4"/>
        <v/>
      </c>
      <c r="G38" s="80"/>
    </row>
    <row r="39" spans="1:12" x14ac:dyDescent="0.25">
      <c r="A39" s="3" t="s">
        <v>99</v>
      </c>
      <c r="B39" s="4">
        <f>(((((B33)+(B34))+(B35))+(B36))+(B37))+(B38)</f>
        <v>36442.699999999997</v>
      </c>
      <c r="C39" s="4">
        <f>(((((C33)+(C34))+(C35))+(C36))+(C37))+(C38)</f>
        <v>37758.92</v>
      </c>
      <c r="D39" s="4">
        <f t="shared" si="3"/>
        <v>-1316.2200000000012</v>
      </c>
      <c r="E39" s="88">
        <f t="shared" si="4"/>
        <v>0.96514148180085657</v>
      </c>
      <c r="L39" s="97"/>
    </row>
    <row r="40" spans="1:12" x14ac:dyDescent="0.25">
      <c r="A40" s="3" t="s">
        <v>98</v>
      </c>
      <c r="B40" s="2"/>
      <c r="C40" s="5">
        <f>0</f>
        <v>0</v>
      </c>
      <c r="D40" s="5">
        <f t="shared" si="3"/>
        <v>0</v>
      </c>
      <c r="E40" s="87" t="str">
        <f t="shared" si="4"/>
        <v/>
      </c>
    </row>
    <row r="41" spans="1:12" x14ac:dyDescent="0.25">
      <c r="A41" s="3" t="s">
        <v>97</v>
      </c>
      <c r="B41" s="5">
        <f>6600</f>
        <v>6600</v>
      </c>
      <c r="C41" s="5">
        <f>6600</f>
        <v>6600</v>
      </c>
      <c r="D41" s="5">
        <f t="shared" si="3"/>
        <v>0</v>
      </c>
      <c r="E41" s="87">
        <f t="shared" si="4"/>
        <v>1</v>
      </c>
      <c r="L41" s="97"/>
    </row>
    <row r="42" spans="1:12" x14ac:dyDescent="0.25">
      <c r="A42" s="3" t="s">
        <v>96</v>
      </c>
      <c r="B42" s="2"/>
      <c r="C42" s="5">
        <f>0</f>
        <v>0</v>
      </c>
      <c r="D42" s="5">
        <f t="shared" si="3"/>
        <v>0</v>
      </c>
      <c r="E42" s="87" t="str">
        <f t="shared" si="4"/>
        <v/>
      </c>
      <c r="L42" s="97"/>
    </row>
    <row r="43" spans="1:12" x14ac:dyDescent="0.25">
      <c r="A43" s="3" t="s">
        <v>95</v>
      </c>
      <c r="B43" s="2"/>
      <c r="C43" s="5">
        <f>249.99</f>
        <v>249.99</v>
      </c>
      <c r="D43" s="5">
        <f t="shared" si="3"/>
        <v>-249.99</v>
      </c>
      <c r="E43" s="87">
        <f t="shared" si="4"/>
        <v>0</v>
      </c>
    </row>
    <row r="44" spans="1:12" x14ac:dyDescent="0.25">
      <c r="A44" s="3" t="s">
        <v>94</v>
      </c>
      <c r="B44" s="4">
        <f>(((B40)+(B41))+(B42))+(B43)</f>
        <v>6600</v>
      </c>
      <c r="C44" s="4">
        <f>(((C40)+(C41))+(C42))+(C43)</f>
        <v>6849.99</v>
      </c>
      <c r="D44" s="4">
        <f t="shared" si="3"/>
        <v>-249.98999999999978</v>
      </c>
      <c r="E44" s="88">
        <f t="shared" si="4"/>
        <v>0.96350505621176097</v>
      </c>
      <c r="L44" s="97"/>
    </row>
    <row r="45" spans="1:12" x14ac:dyDescent="0.25">
      <c r="A45" s="3" t="s">
        <v>93</v>
      </c>
      <c r="B45" s="2"/>
      <c r="C45" s="5">
        <f>0</f>
        <v>0</v>
      </c>
      <c r="D45" s="5">
        <f t="shared" si="3"/>
        <v>0</v>
      </c>
      <c r="E45" s="87" t="str">
        <f t="shared" si="4"/>
        <v/>
      </c>
      <c r="H45" s="76">
        <f>+D44</f>
        <v>-249.98999999999978</v>
      </c>
      <c r="I45" t="s">
        <v>227</v>
      </c>
    </row>
    <row r="46" spans="1:12" x14ac:dyDescent="0.25">
      <c r="A46" s="3" t="s">
        <v>92</v>
      </c>
      <c r="B46" s="5">
        <f>0</f>
        <v>0</v>
      </c>
      <c r="C46" s="5">
        <f>0</f>
        <v>0</v>
      </c>
      <c r="D46" s="5">
        <f t="shared" si="3"/>
        <v>0</v>
      </c>
      <c r="E46" s="87" t="str">
        <f t="shared" si="4"/>
        <v/>
      </c>
    </row>
    <row r="47" spans="1:12" x14ac:dyDescent="0.25">
      <c r="A47" s="3" t="s">
        <v>91</v>
      </c>
      <c r="B47" s="5">
        <f>1263</f>
        <v>1263</v>
      </c>
      <c r="C47" s="5">
        <f>0</f>
        <v>0</v>
      </c>
      <c r="D47" s="5">
        <f t="shared" si="3"/>
        <v>1263</v>
      </c>
      <c r="E47" s="87" t="str">
        <f t="shared" si="4"/>
        <v/>
      </c>
      <c r="L47" s="71"/>
    </row>
    <row r="48" spans="1:12" x14ac:dyDescent="0.25">
      <c r="A48" s="3" t="s">
        <v>90</v>
      </c>
      <c r="B48" s="4">
        <f>((B45)+(B46))+(B47)</f>
        <v>1263</v>
      </c>
      <c r="C48" s="4">
        <f>((C45)+(C46))+(C47)</f>
        <v>0</v>
      </c>
      <c r="D48" s="4">
        <f t="shared" si="3"/>
        <v>1263</v>
      </c>
      <c r="E48" s="88" t="str">
        <f t="shared" si="4"/>
        <v/>
      </c>
    </row>
    <row r="49" spans="1:12" x14ac:dyDescent="0.25">
      <c r="A49" s="3" t="s">
        <v>89</v>
      </c>
      <c r="B49" s="2"/>
      <c r="C49" s="5">
        <f>0</f>
        <v>0</v>
      </c>
      <c r="D49" s="5">
        <f t="shared" si="3"/>
        <v>0</v>
      </c>
      <c r="E49" s="87" t="str">
        <f t="shared" si="4"/>
        <v/>
      </c>
      <c r="H49" s="76">
        <f>+D48</f>
        <v>1263</v>
      </c>
      <c r="I49" t="s">
        <v>199</v>
      </c>
    </row>
    <row r="50" spans="1:12" x14ac:dyDescent="0.25">
      <c r="A50" s="3" t="s">
        <v>88</v>
      </c>
      <c r="B50" s="5">
        <f>345.42</f>
        <v>345.42</v>
      </c>
      <c r="C50" s="5">
        <f>249.99</f>
        <v>249.99</v>
      </c>
      <c r="D50" s="5">
        <f t="shared" si="3"/>
        <v>95.43</v>
      </c>
      <c r="E50" s="87">
        <f t="shared" si="4"/>
        <v>1.3817352694107765</v>
      </c>
    </row>
    <row r="51" spans="1:12" x14ac:dyDescent="0.25">
      <c r="A51" s="3" t="s">
        <v>87</v>
      </c>
      <c r="B51" s="5">
        <f>153.41</f>
        <v>153.41</v>
      </c>
      <c r="C51" s="5">
        <f>125.01</f>
        <v>125.01</v>
      </c>
      <c r="D51" s="5">
        <f t="shared" si="3"/>
        <v>28.399999999999991</v>
      </c>
      <c r="E51" s="87">
        <f t="shared" si="4"/>
        <v>1.2271818254539637</v>
      </c>
    </row>
    <row r="52" spans="1:12" x14ac:dyDescent="0.25">
      <c r="A52" s="3" t="s">
        <v>86</v>
      </c>
      <c r="B52" s="2"/>
      <c r="C52" s="5">
        <f>249.99</f>
        <v>249.99</v>
      </c>
      <c r="D52" s="5">
        <f t="shared" si="3"/>
        <v>-249.99</v>
      </c>
      <c r="E52" s="87">
        <f t="shared" si="4"/>
        <v>0</v>
      </c>
    </row>
    <row r="53" spans="1:12" x14ac:dyDescent="0.25">
      <c r="A53" s="3" t="s">
        <v>85</v>
      </c>
      <c r="B53" s="5">
        <f>678.31</f>
        <v>678.31</v>
      </c>
      <c r="C53" s="5">
        <f>500.01</f>
        <v>500.01</v>
      </c>
      <c r="D53" s="5">
        <f t="shared" si="3"/>
        <v>178.29999999999995</v>
      </c>
      <c r="E53" s="87">
        <f t="shared" si="4"/>
        <v>1.3565928681426371</v>
      </c>
    </row>
    <row r="54" spans="1:12" x14ac:dyDescent="0.25">
      <c r="A54" s="3" t="s">
        <v>84</v>
      </c>
      <c r="B54" s="2"/>
      <c r="C54" s="5">
        <f>150</f>
        <v>150</v>
      </c>
      <c r="D54" s="5">
        <f t="shared" si="3"/>
        <v>-150</v>
      </c>
      <c r="E54" s="87">
        <f t="shared" si="4"/>
        <v>0</v>
      </c>
    </row>
    <row r="55" spans="1:12" x14ac:dyDescent="0.25">
      <c r="A55" s="3" t="s">
        <v>83</v>
      </c>
      <c r="B55" s="5">
        <f>271.23</f>
        <v>271.23</v>
      </c>
      <c r="C55" s="5">
        <f>450</f>
        <v>450</v>
      </c>
      <c r="D55" s="5">
        <f t="shared" si="3"/>
        <v>-178.76999999999998</v>
      </c>
      <c r="E55" s="87">
        <f t="shared" si="4"/>
        <v>0.60273333333333334</v>
      </c>
    </row>
    <row r="56" spans="1:12" x14ac:dyDescent="0.25">
      <c r="A56" s="3" t="s">
        <v>82</v>
      </c>
      <c r="B56" s="4">
        <f>((((((B49)+(B50))+(B51))+(B52))+(B53))+(B54))+(B55)</f>
        <v>1448.37</v>
      </c>
      <c r="C56" s="4">
        <f>((((((C49)+(C50))+(C51))+(C52))+(C53))+(C54))+(C55)</f>
        <v>1725</v>
      </c>
      <c r="D56" s="4">
        <f t="shared" si="3"/>
        <v>-276.63000000000011</v>
      </c>
      <c r="E56" s="88">
        <f t="shared" si="4"/>
        <v>0.83963478260869562</v>
      </c>
      <c r="H56" s="76">
        <f>+D56</f>
        <v>-276.63000000000011</v>
      </c>
      <c r="I56" t="s">
        <v>199</v>
      </c>
    </row>
    <row r="57" spans="1:12" x14ac:dyDescent="0.25">
      <c r="A57" s="3" t="s">
        <v>81</v>
      </c>
      <c r="B57" s="2"/>
      <c r="C57" s="5">
        <f>0</f>
        <v>0</v>
      </c>
      <c r="D57" s="5">
        <f t="shared" si="3"/>
        <v>0</v>
      </c>
      <c r="E57" s="87" t="str">
        <f t="shared" si="4"/>
        <v/>
      </c>
    </row>
    <row r="58" spans="1:12" x14ac:dyDescent="0.25">
      <c r="A58" s="3" t="s">
        <v>190</v>
      </c>
      <c r="B58" s="5">
        <f>80</f>
        <v>80</v>
      </c>
      <c r="C58" s="5">
        <f>62.49</f>
        <v>62.49</v>
      </c>
      <c r="D58" s="5">
        <f t="shared" si="3"/>
        <v>17.509999999999998</v>
      </c>
      <c r="E58" s="87">
        <f t="shared" si="4"/>
        <v>1.2802048327732436</v>
      </c>
    </row>
    <row r="59" spans="1:12" x14ac:dyDescent="0.25">
      <c r="A59" s="3" t="s">
        <v>80</v>
      </c>
      <c r="B59" s="5">
        <f>634.48</f>
        <v>634.48</v>
      </c>
      <c r="C59" s="5">
        <f>750</f>
        <v>750</v>
      </c>
      <c r="D59" s="5">
        <f t="shared" si="3"/>
        <v>-115.51999999999998</v>
      </c>
      <c r="E59" s="87">
        <f t="shared" si="4"/>
        <v>0.84597333333333335</v>
      </c>
    </row>
    <row r="60" spans="1:12" x14ac:dyDescent="0.25">
      <c r="A60" s="3" t="s">
        <v>79</v>
      </c>
      <c r="B60" s="2"/>
      <c r="C60" s="5">
        <f>50.01</f>
        <v>50.01</v>
      </c>
      <c r="D60" s="5">
        <f t="shared" si="3"/>
        <v>-50.01</v>
      </c>
      <c r="E60" s="87">
        <f t="shared" si="4"/>
        <v>0</v>
      </c>
    </row>
    <row r="61" spans="1:12" x14ac:dyDescent="0.25">
      <c r="A61" s="3" t="s">
        <v>78</v>
      </c>
      <c r="B61" s="2"/>
      <c r="C61" s="5">
        <f>37.5</f>
        <v>37.5</v>
      </c>
      <c r="D61" s="5">
        <f t="shared" si="3"/>
        <v>-37.5</v>
      </c>
      <c r="E61" s="87">
        <f t="shared" si="4"/>
        <v>0</v>
      </c>
    </row>
    <row r="62" spans="1:12" x14ac:dyDescent="0.25">
      <c r="A62" s="3" t="s">
        <v>77</v>
      </c>
      <c r="B62" s="4">
        <f>((((B57)+(B58))+(B59))+(B60))+(B61)</f>
        <v>714.48</v>
      </c>
      <c r="C62" s="4">
        <f>((((C57)+(C58))+(C59))+(C60))+(C61)</f>
        <v>900</v>
      </c>
      <c r="D62" s="4">
        <f t="shared" si="3"/>
        <v>-185.51999999999998</v>
      </c>
      <c r="E62" s="88">
        <f t="shared" si="4"/>
        <v>0.79386666666666672</v>
      </c>
    </row>
    <row r="63" spans="1:12" x14ac:dyDescent="0.25">
      <c r="A63" s="3" t="s">
        <v>230</v>
      </c>
      <c r="B63" s="2"/>
      <c r="C63" s="5">
        <f>0</f>
        <v>0</v>
      </c>
      <c r="D63" s="5">
        <f t="shared" si="3"/>
        <v>0</v>
      </c>
      <c r="E63" s="87" t="str">
        <f t="shared" si="4"/>
        <v/>
      </c>
    </row>
    <row r="64" spans="1:12" x14ac:dyDescent="0.25">
      <c r="A64" s="3" t="s">
        <v>191</v>
      </c>
      <c r="B64" s="5">
        <f>11900-11900</f>
        <v>0</v>
      </c>
      <c r="C64" s="5">
        <f>0</f>
        <v>0</v>
      </c>
      <c r="D64" s="5">
        <f t="shared" si="3"/>
        <v>0</v>
      </c>
      <c r="E64" s="87" t="str">
        <f t="shared" si="4"/>
        <v/>
      </c>
      <c r="H64" s="76">
        <f>+D64</f>
        <v>0</v>
      </c>
      <c r="I64" t="s">
        <v>200</v>
      </c>
      <c r="L64" s="77"/>
    </row>
    <row r="65" spans="1:12" x14ac:dyDescent="0.25">
      <c r="A65" s="3" t="s">
        <v>76</v>
      </c>
      <c r="B65" s="4">
        <f>(((((((((((((((((((B20)+(B21))+(B22))+(B23))+(B24))+(B25))+(B26))+(B27))+(B28))+(B29))+(B30))+(B31))+(B32))+(B39))+(B44))+(B48))+(B56))+(B62))+(B63))+(B64)</f>
        <v>59287.11</v>
      </c>
      <c r="C65" s="4">
        <f>(((((((((((((((((((C20)+(C21))+(C22))+(C23))+(C24))+(C25))+(C26))+(C27))+(C28))+(C29))+(C30))+(C31))+(C32))+(C39))+(C44))+(C48))+(C56))+(C62))+(C63))+(C64)</f>
        <v>61208.959999999999</v>
      </c>
      <c r="D65" s="4">
        <f t="shared" si="3"/>
        <v>-1921.8499999999985</v>
      </c>
      <c r="E65" s="88">
        <f t="shared" si="4"/>
        <v>0.96860181908008247</v>
      </c>
      <c r="H65" s="78">
        <f>+D65</f>
        <v>-1921.8499999999985</v>
      </c>
      <c r="L65" s="75"/>
    </row>
    <row r="66" spans="1:12" x14ac:dyDescent="0.25">
      <c r="A66" s="3" t="s">
        <v>75</v>
      </c>
      <c r="B66" s="4">
        <f>(B18)-(B65)</f>
        <v>9251.8400000000111</v>
      </c>
      <c r="C66" s="4">
        <f>(C18)-(C65)</f>
        <v>2666.0299999999988</v>
      </c>
      <c r="D66" s="4">
        <f t="shared" si="3"/>
        <v>6585.8100000000122</v>
      </c>
      <c r="E66" s="88">
        <f t="shared" si="4"/>
        <v>3.470268526610734</v>
      </c>
    </row>
    <row r="67" spans="1:12" x14ac:dyDescent="0.25">
      <c r="A67" s="3" t="s">
        <v>74</v>
      </c>
      <c r="B67" s="2"/>
      <c r="C67" s="2"/>
      <c r="D67" s="2"/>
      <c r="E67" s="2"/>
      <c r="H67" s="80"/>
      <c r="I67" s="77"/>
      <c r="J67" s="77"/>
    </row>
    <row r="68" spans="1:12" x14ac:dyDescent="0.25">
      <c r="A68" s="3" t="s">
        <v>73</v>
      </c>
      <c r="B68" s="5">
        <f>319441.54</f>
        <v>319441.53999999998</v>
      </c>
      <c r="C68" s="5">
        <f>0</f>
        <v>0</v>
      </c>
      <c r="D68" s="5">
        <f t="shared" ref="D68:D75" si="6">(B68)-(C68)</f>
        <v>319441.53999999998</v>
      </c>
      <c r="E68" s="87" t="str">
        <f t="shared" ref="E68:E75" si="7">IF(C68=0,"",(B68)/(C68))</f>
        <v/>
      </c>
      <c r="G68" s="85" t="s">
        <v>215</v>
      </c>
      <c r="H68" s="76">
        <f>+H19</f>
        <v>4663.9600000000137</v>
      </c>
      <c r="I68" s="77"/>
      <c r="J68" s="77"/>
    </row>
    <row r="69" spans="1:12" x14ac:dyDescent="0.25">
      <c r="A69" s="3" t="s">
        <v>72</v>
      </c>
      <c r="B69" s="2"/>
      <c r="C69" s="5">
        <f>0</f>
        <v>0</v>
      </c>
      <c r="D69" s="5">
        <f t="shared" si="6"/>
        <v>0</v>
      </c>
      <c r="E69" s="87" t="str">
        <f t="shared" si="7"/>
        <v/>
      </c>
      <c r="G69" s="85" t="s">
        <v>216</v>
      </c>
      <c r="H69" s="77">
        <f>-H65</f>
        <v>1921.8499999999985</v>
      </c>
      <c r="I69" s="77"/>
      <c r="J69" s="77"/>
    </row>
    <row r="70" spans="1:12" ht="15.75" thickBot="1" x14ac:dyDescent="0.3">
      <c r="A70" s="3" t="s">
        <v>71</v>
      </c>
      <c r="B70" s="5">
        <f>34307.75</f>
        <v>34307.75</v>
      </c>
      <c r="C70" s="5">
        <f>0</f>
        <v>0</v>
      </c>
      <c r="D70" s="5">
        <f t="shared" si="6"/>
        <v>34307.75</v>
      </c>
      <c r="E70" s="87" t="str">
        <f t="shared" si="7"/>
        <v/>
      </c>
      <c r="H70" s="84">
        <f>+H68+H69</f>
        <v>6585.8100000000122</v>
      </c>
      <c r="I70" s="77"/>
      <c r="J70" s="77"/>
    </row>
    <row r="71" spans="1:12" ht="15.75" thickTop="1" x14ac:dyDescent="0.25">
      <c r="A71" s="3" t="s">
        <v>180</v>
      </c>
      <c r="B71" s="5">
        <f>0</f>
        <v>0</v>
      </c>
      <c r="C71" s="5">
        <f>0</f>
        <v>0</v>
      </c>
      <c r="D71" s="5">
        <f t="shared" si="6"/>
        <v>0</v>
      </c>
      <c r="E71" s="87" t="str">
        <f t="shared" si="7"/>
        <v/>
      </c>
      <c r="H71" s="80"/>
      <c r="I71" s="77"/>
      <c r="J71" s="77"/>
    </row>
    <row r="72" spans="1:12" x14ac:dyDescent="0.25">
      <c r="A72" s="3" t="s">
        <v>70</v>
      </c>
      <c r="B72" s="5">
        <f>428107.58</f>
        <v>428107.58</v>
      </c>
      <c r="C72" s="5">
        <f>0</f>
        <v>0</v>
      </c>
      <c r="D72" s="5">
        <f t="shared" si="6"/>
        <v>428107.58</v>
      </c>
      <c r="E72" s="87" t="str">
        <f t="shared" si="7"/>
        <v/>
      </c>
      <c r="H72" s="80">
        <f>+H70-D67</f>
        <v>6585.8100000000122</v>
      </c>
      <c r="I72" s="77"/>
      <c r="J72" s="77"/>
    </row>
    <row r="73" spans="1:12" x14ac:dyDescent="0.25">
      <c r="A73" s="3" t="s">
        <v>69</v>
      </c>
      <c r="B73" s="5">
        <f>-30050.51</f>
        <v>-30050.51</v>
      </c>
      <c r="C73" s="5">
        <f>0</f>
        <v>0</v>
      </c>
      <c r="D73" s="5">
        <f t="shared" si="6"/>
        <v>-30050.51</v>
      </c>
      <c r="E73" s="87" t="str">
        <f t="shared" si="7"/>
        <v/>
      </c>
      <c r="H73" s="80"/>
      <c r="I73" s="77"/>
      <c r="J73" s="77"/>
    </row>
    <row r="74" spans="1:12" x14ac:dyDescent="0.25">
      <c r="A74" s="3" t="s">
        <v>68</v>
      </c>
      <c r="B74" s="4">
        <f>((((B69)+(B70))+(B71))+(B72))+(B73)</f>
        <v>432364.82</v>
      </c>
      <c r="C74" s="4">
        <f>((((C69)+(C70))+(C71))+(C72))+(C73)</f>
        <v>0</v>
      </c>
      <c r="D74" s="4">
        <f t="shared" si="6"/>
        <v>432364.82</v>
      </c>
      <c r="E74" s="88" t="str">
        <f t="shared" si="7"/>
        <v/>
      </c>
      <c r="H74" s="80"/>
      <c r="I74" s="77"/>
      <c r="J74" s="77"/>
    </row>
    <row r="75" spans="1:12" x14ac:dyDescent="0.25">
      <c r="A75" s="3" t="s">
        <v>67</v>
      </c>
      <c r="B75" s="4">
        <f>(B68)+(B74)</f>
        <v>751806.36</v>
      </c>
      <c r="C75" s="4">
        <f>(C68)+(C74)</f>
        <v>0</v>
      </c>
      <c r="D75" s="4">
        <f t="shared" si="6"/>
        <v>751806.36</v>
      </c>
      <c r="E75" s="88" t="str">
        <f t="shared" si="7"/>
        <v/>
      </c>
      <c r="H75" s="80"/>
      <c r="I75" s="77"/>
      <c r="J75" s="77"/>
    </row>
    <row r="76" spans="1:12" x14ac:dyDescent="0.25">
      <c r="A76" s="3" t="s">
        <v>66</v>
      </c>
      <c r="B76" s="2"/>
      <c r="C76" s="2"/>
      <c r="D76" s="2"/>
      <c r="E76" s="2"/>
      <c r="H76" s="80"/>
      <c r="I76" s="77"/>
      <c r="J76" s="77"/>
    </row>
    <row r="77" spans="1:12" x14ac:dyDescent="0.25">
      <c r="A77" s="3" t="s">
        <v>65</v>
      </c>
      <c r="B77" s="5">
        <f>357733.91</f>
        <v>357733.91</v>
      </c>
      <c r="C77" s="5">
        <f>0</f>
        <v>0</v>
      </c>
      <c r="D77" s="5">
        <f>(B77)-(C77)</f>
        <v>357733.91</v>
      </c>
      <c r="E77" s="87" t="str">
        <f>IF(C77=0,"",(B77)/(C77))</f>
        <v/>
      </c>
      <c r="H77" s="80"/>
      <c r="I77" s="77"/>
      <c r="J77" s="77"/>
    </row>
    <row r="78" spans="1:12" x14ac:dyDescent="0.25">
      <c r="A78" s="3" t="s">
        <v>64</v>
      </c>
      <c r="B78" s="4">
        <f>B77</f>
        <v>357733.91</v>
      </c>
      <c r="C78" s="4">
        <f>C77</f>
        <v>0</v>
      </c>
      <c r="D78" s="4">
        <f>(B78)-(C78)</f>
        <v>357733.91</v>
      </c>
      <c r="E78" s="88" t="str">
        <f>IF(C78=0,"",(B78)/(C78))</f>
        <v/>
      </c>
    </row>
    <row r="79" spans="1:12" x14ac:dyDescent="0.25">
      <c r="A79" s="3" t="s">
        <v>63</v>
      </c>
      <c r="B79" s="4">
        <f>(B75)-(B78)</f>
        <v>394072.45</v>
      </c>
      <c r="C79" s="4">
        <f>(C75)-(C78)</f>
        <v>0</v>
      </c>
      <c r="D79" s="4">
        <f>(B79)-(C79)</f>
        <v>394072.45</v>
      </c>
      <c r="E79" s="88" t="str">
        <f>IF(C79=0,"",(B79)/(C79))</f>
        <v/>
      </c>
      <c r="F79" s="77"/>
    </row>
    <row r="80" spans="1:12" x14ac:dyDescent="0.25">
      <c r="A80" s="3" t="s">
        <v>62</v>
      </c>
      <c r="B80" s="4">
        <f>(B66)+(B79)</f>
        <v>403324.29000000004</v>
      </c>
      <c r="C80" s="4">
        <f>(C66)+(C79)</f>
        <v>2666.0299999999988</v>
      </c>
      <c r="D80" s="4">
        <f>(B80)-(C80)</f>
        <v>400658.26</v>
      </c>
      <c r="E80" s="88">
        <f>IF(C80=0,"",(B80)/(C80))</f>
        <v>151.28272750119098</v>
      </c>
    </row>
    <row r="81" spans="1:8" x14ac:dyDescent="0.25">
      <c r="A81" s="3"/>
      <c r="B81" s="90"/>
      <c r="C81" s="90"/>
      <c r="D81" s="90"/>
      <c r="E81" s="2"/>
      <c r="H81" s="77"/>
    </row>
    <row r="82" spans="1:8" x14ac:dyDescent="0.25">
      <c r="A82" s="92" t="s">
        <v>61</v>
      </c>
      <c r="B82" s="92"/>
      <c r="C82" s="92"/>
      <c r="D82" s="92"/>
      <c r="E82" s="92"/>
    </row>
    <row r="83" spans="1:8" x14ac:dyDescent="0.25">
      <c r="B83" s="80"/>
      <c r="C83" s="80"/>
      <c r="D83" s="80"/>
    </row>
    <row r="84" spans="1:8" x14ac:dyDescent="0.25">
      <c r="A84" s="113" t="s">
        <v>231</v>
      </c>
      <c r="B84" s="110"/>
      <c r="C84" s="110"/>
      <c r="D84" s="110"/>
      <c r="E84" s="110"/>
    </row>
    <row r="85" spans="1:8" x14ac:dyDescent="0.25">
      <c r="B85" s="80"/>
      <c r="C85" s="80"/>
      <c r="D85" s="80"/>
    </row>
  </sheetData>
  <mergeCells count="7">
    <mergeCell ref="A84:E84"/>
    <mergeCell ref="K6:N6"/>
    <mergeCell ref="K5:N5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M67"/>
  <sheetViews>
    <sheetView topLeftCell="A38" workbookViewId="0">
      <selection activeCell="M49" sqref="M49"/>
    </sheetView>
  </sheetViews>
  <sheetFormatPr defaultRowHeight="15" x14ac:dyDescent="0.25"/>
  <cols>
    <col min="1" max="1" width="40.42578125" customWidth="1"/>
    <col min="2" max="2" width="8.5703125" hidden="1" customWidth="1"/>
    <col min="3" max="3" width="11.140625" customWidth="1"/>
    <col min="4" max="4" width="10.28515625" hidden="1" customWidth="1"/>
    <col min="5" max="6" width="12" hidden="1" customWidth="1"/>
    <col min="7" max="9" width="11.140625" hidden="1" customWidth="1"/>
    <col min="10" max="10" width="11.140625" customWidth="1"/>
    <col min="11" max="11" width="11.7109375" bestFit="1" customWidth="1"/>
    <col min="13" max="13" width="12.28515625" bestFit="1" customWidth="1"/>
  </cols>
  <sheetData>
    <row r="1" spans="1:11" ht="18" x14ac:dyDescent="0.25">
      <c r="A1" s="109" t="s">
        <v>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8" x14ac:dyDescent="0.25">
      <c r="A2" s="109" t="s">
        <v>237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x14ac:dyDescent="0.25">
      <c r="A3" s="111" t="s">
        <v>245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 ht="36.75" x14ac:dyDescent="0.25">
      <c r="A5" s="1"/>
      <c r="B5" s="83" t="s">
        <v>214</v>
      </c>
      <c r="C5" s="83" t="s">
        <v>192</v>
      </c>
      <c r="D5" s="83" t="s">
        <v>193</v>
      </c>
      <c r="E5" s="83" t="s">
        <v>194</v>
      </c>
      <c r="F5" s="83" t="s">
        <v>195</v>
      </c>
      <c r="G5" s="83" t="s">
        <v>196</v>
      </c>
      <c r="H5" s="83" t="s">
        <v>197</v>
      </c>
      <c r="I5" s="83" t="s">
        <v>198</v>
      </c>
      <c r="J5" s="83" t="s">
        <v>205</v>
      </c>
      <c r="K5" s="83" t="s">
        <v>126</v>
      </c>
    </row>
    <row r="6" spans="1:11" x14ac:dyDescent="0.25">
      <c r="A6" s="3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7" t="s">
        <v>120</v>
      </c>
      <c r="B7" s="118"/>
      <c r="C7" s="118"/>
      <c r="D7" s="118"/>
      <c r="E7" s="118"/>
      <c r="F7" s="118"/>
      <c r="G7" s="118"/>
      <c r="H7" s="118"/>
      <c r="I7" s="118"/>
      <c r="J7" s="119">
        <f t="shared" ref="J7:J16" si="0">((G7)+(H7))+(I7)</f>
        <v>0</v>
      </c>
      <c r="K7" s="119">
        <f t="shared" ref="K7:K16" si="1">(((((B7)+(C7))+(D7))+(E7))+(F7))+(J7)</f>
        <v>0</v>
      </c>
    </row>
    <row r="8" spans="1:11" x14ac:dyDescent="0.25">
      <c r="A8" s="117" t="s">
        <v>119</v>
      </c>
      <c r="B8" s="118"/>
      <c r="C8" s="118"/>
      <c r="D8" s="118"/>
      <c r="E8" s="118"/>
      <c r="F8" s="118"/>
      <c r="G8" s="119">
        <f>13672.95</f>
        <v>13672.95</v>
      </c>
      <c r="H8" s="118"/>
      <c r="I8" s="118"/>
      <c r="J8" s="119">
        <f t="shared" si="0"/>
        <v>13672.95</v>
      </c>
      <c r="K8" s="119">
        <f t="shared" si="1"/>
        <v>13672.95</v>
      </c>
    </row>
    <row r="9" spans="1:11" x14ac:dyDescent="0.25">
      <c r="A9" s="117" t="s">
        <v>118</v>
      </c>
      <c r="B9" s="118"/>
      <c r="C9" s="118"/>
      <c r="D9" s="118"/>
      <c r="E9" s="118"/>
      <c r="F9" s="118"/>
      <c r="G9" s="118"/>
      <c r="H9" s="118"/>
      <c r="I9" s="118"/>
      <c r="J9" s="119">
        <f t="shared" si="0"/>
        <v>0</v>
      </c>
      <c r="K9" s="119">
        <f t="shared" si="1"/>
        <v>0</v>
      </c>
    </row>
    <row r="10" spans="1:11" x14ac:dyDescent="0.25">
      <c r="A10" s="117" t="s">
        <v>117</v>
      </c>
      <c r="B10" s="118"/>
      <c r="C10" s="118"/>
      <c r="D10" s="118"/>
      <c r="E10" s="118"/>
      <c r="F10" s="118"/>
      <c r="G10" s="119">
        <f>44674.07</f>
        <v>44674.07</v>
      </c>
      <c r="H10" s="118"/>
      <c r="I10" s="118"/>
      <c r="J10" s="119">
        <f t="shared" si="0"/>
        <v>44674.07</v>
      </c>
      <c r="K10" s="119">
        <f t="shared" si="1"/>
        <v>44674.07</v>
      </c>
    </row>
    <row r="11" spans="1:11" x14ac:dyDescent="0.25">
      <c r="A11" s="117" t="s">
        <v>187</v>
      </c>
      <c r="B11" s="120">
        <f t="shared" ref="B11:I11" si="2">(B9)+(B10)</f>
        <v>0</v>
      </c>
      <c r="C11" s="120">
        <f t="shared" si="2"/>
        <v>0</v>
      </c>
      <c r="D11" s="120">
        <f t="shared" si="2"/>
        <v>0</v>
      </c>
      <c r="E11" s="120">
        <f t="shared" si="2"/>
        <v>0</v>
      </c>
      <c r="F11" s="120">
        <f t="shared" si="2"/>
        <v>0</v>
      </c>
      <c r="G11" s="120">
        <f t="shared" si="2"/>
        <v>44674.07</v>
      </c>
      <c r="H11" s="120">
        <f t="shared" si="2"/>
        <v>0</v>
      </c>
      <c r="I11" s="120">
        <f t="shared" si="2"/>
        <v>0</v>
      </c>
      <c r="J11" s="120">
        <f t="shared" si="0"/>
        <v>44674.07</v>
      </c>
      <c r="K11" s="120">
        <f t="shared" si="1"/>
        <v>44674.07</v>
      </c>
    </row>
    <row r="12" spans="1:11" x14ac:dyDescent="0.25">
      <c r="A12" s="117" t="s">
        <v>188</v>
      </c>
      <c r="B12" s="118"/>
      <c r="C12" s="119">
        <f>9999.99</f>
        <v>9999.99</v>
      </c>
      <c r="D12" s="118"/>
      <c r="E12" s="118"/>
      <c r="F12" s="118"/>
      <c r="G12" s="118"/>
      <c r="H12" s="118"/>
      <c r="I12" s="118"/>
      <c r="J12" s="119">
        <f t="shared" si="0"/>
        <v>0</v>
      </c>
      <c r="K12" s="119">
        <f t="shared" si="1"/>
        <v>9999.99</v>
      </c>
    </row>
    <row r="13" spans="1:11" x14ac:dyDescent="0.25">
      <c r="A13" s="117" t="s">
        <v>116</v>
      </c>
      <c r="B13" s="120">
        <f t="shared" ref="B13:I13" si="3">(((B7)+(B8))+(B11))+(B12)</f>
        <v>0</v>
      </c>
      <c r="C13" s="120">
        <f t="shared" si="3"/>
        <v>9999.99</v>
      </c>
      <c r="D13" s="120">
        <f t="shared" si="3"/>
        <v>0</v>
      </c>
      <c r="E13" s="120">
        <f t="shared" si="3"/>
        <v>0</v>
      </c>
      <c r="F13" s="120">
        <f t="shared" si="3"/>
        <v>0</v>
      </c>
      <c r="G13" s="120">
        <f t="shared" si="3"/>
        <v>58347.020000000004</v>
      </c>
      <c r="H13" s="120">
        <f t="shared" si="3"/>
        <v>0</v>
      </c>
      <c r="I13" s="120">
        <f t="shared" si="3"/>
        <v>0</v>
      </c>
      <c r="J13" s="120">
        <f t="shared" si="0"/>
        <v>58347.020000000004</v>
      </c>
      <c r="K13" s="120">
        <f t="shared" si="1"/>
        <v>68347.010000000009</v>
      </c>
    </row>
    <row r="14" spans="1:11" x14ac:dyDescent="0.25">
      <c r="A14" s="117" t="s">
        <v>115</v>
      </c>
      <c r="B14" s="118"/>
      <c r="C14" s="118"/>
      <c r="D14" s="118"/>
      <c r="E14" s="118"/>
      <c r="F14" s="118"/>
      <c r="G14" s="119">
        <f>191.94</f>
        <v>191.94</v>
      </c>
      <c r="H14" s="118"/>
      <c r="I14" s="118"/>
      <c r="J14" s="119">
        <f t="shared" si="0"/>
        <v>191.94</v>
      </c>
      <c r="K14" s="119">
        <f t="shared" si="1"/>
        <v>191.94</v>
      </c>
    </row>
    <row r="15" spans="1:11" x14ac:dyDescent="0.25">
      <c r="A15" s="117" t="s">
        <v>114</v>
      </c>
      <c r="B15" s="120">
        <f t="shared" ref="B15:I15" si="4">(B13)+(B14)</f>
        <v>0</v>
      </c>
      <c r="C15" s="120">
        <f t="shared" si="4"/>
        <v>9999.99</v>
      </c>
      <c r="D15" s="120">
        <f t="shared" si="4"/>
        <v>0</v>
      </c>
      <c r="E15" s="120">
        <f t="shared" si="4"/>
        <v>0</v>
      </c>
      <c r="F15" s="120">
        <f t="shared" si="4"/>
        <v>0</v>
      </c>
      <c r="G15" s="120">
        <f t="shared" si="4"/>
        <v>58538.960000000006</v>
      </c>
      <c r="H15" s="120">
        <f t="shared" si="4"/>
        <v>0</v>
      </c>
      <c r="I15" s="120">
        <f t="shared" si="4"/>
        <v>0</v>
      </c>
      <c r="J15" s="120">
        <f t="shared" si="0"/>
        <v>58538.960000000006</v>
      </c>
      <c r="K15" s="120">
        <f t="shared" si="1"/>
        <v>68538.950000000012</v>
      </c>
    </row>
    <row r="16" spans="1:11" x14ac:dyDescent="0.25">
      <c r="A16" s="117" t="s">
        <v>113</v>
      </c>
      <c r="B16" s="120">
        <f t="shared" ref="B16:I16" si="5">(B15)-(0)</f>
        <v>0</v>
      </c>
      <c r="C16" s="120">
        <f t="shared" si="5"/>
        <v>9999.99</v>
      </c>
      <c r="D16" s="120">
        <f t="shared" si="5"/>
        <v>0</v>
      </c>
      <c r="E16" s="120">
        <f t="shared" si="5"/>
        <v>0</v>
      </c>
      <c r="F16" s="120">
        <f t="shared" si="5"/>
        <v>0</v>
      </c>
      <c r="G16" s="120">
        <f t="shared" si="5"/>
        <v>58538.960000000006</v>
      </c>
      <c r="H16" s="120">
        <f t="shared" si="5"/>
        <v>0</v>
      </c>
      <c r="I16" s="120">
        <f t="shared" si="5"/>
        <v>0</v>
      </c>
      <c r="J16" s="120">
        <f t="shared" si="0"/>
        <v>58538.960000000006</v>
      </c>
      <c r="K16" s="120">
        <f t="shared" si="1"/>
        <v>68538.950000000012</v>
      </c>
    </row>
    <row r="17" spans="1:11" x14ac:dyDescent="0.25">
      <c r="A17" s="117" t="s">
        <v>112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x14ac:dyDescent="0.25">
      <c r="A18" s="117" t="s">
        <v>182</v>
      </c>
      <c r="B18" s="118"/>
      <c r="C18" s="119">
        <f>600</f>
        <v>600</v>
      </c>
      <c r="D18" s="118"/>
      <c r="E18" s="118"/>
      <c r="F18" s="118"/>
      <c r="G18" s="118"/>
      <c r="H18" s="118"/>
      <c r="I18" s="118"/>
      <c r="J18" s="119">
        <f t="shared" ref="J18:J49" si="6">((G18)+(H18))+(I18)</f>
        <v>0</v>
      </c>
      <c r="K18" s="119">
        <f t="shared" ref="K18:K49" si="7">(((((B18)+(C18))+(D18))+(E18))+(F18))+(J18)</f>
        <v>600</v>
      </c>
    </row>
    <row r="19" spans="1:11" x14ac:dyDescent="0.25">
      <c r="A19" s="117" t="s">
        <v>111</v>
      </c>
      <c r="B19" s="118"/>
      <c r="C19" s="118"/>
      <c r="D19" s="118"/>
      <c r="E19" s="118"/>
      <c r="F19" s="118"/>
      <c r="G19" s="118"/>
      <c r="H19" s="119">
        <f>385.86</f>
        <v>385.86</v>
      </c>
      <c r="I19" s="118"/>
      <c r="J19" s="119">
        <f t="shared" si="6"/>
        <v>385.86</v>
      </c>
      <c r="K19" s="119">
        <f t="shared" si="7"/>
        <v>385.86</v>
      </c>
    </row>
    <row r="20" spans="1:11" x14ac:dyDescent="0.25">
      <c r="A20" s="117" t="s">
        <v>110</v>
      </c>
      <c r="B20" s="118"/>
      <c r="C20" s="118"/>
      <c r="D20" s="118"/>
      <c r="E20" s="118"/>
      <c r="F20" s="118"/>
      <c r="G20" s="118"/>
      <c r="H20" s="119">
        <f>300</f>
        <v>300</v>
      </c>
      <c r="I20" s="118"/>
      <c r="J20" s="119">
        <f t="shared" si="6"/>
        <v>300</v>
      </c>
      <c r="K20" s="119">
        <f t="shared" si="7"/>
        <v>300</v>
      </c>
    </row>
    <row r="21" spans="1:11" x14ac:dyDescent="0.25">
      <c r="A21" s="117" t="s">
        <v>109</v>
      </c>
      <c r="B21" s="118"/>
      <c r="C21" s="119">
        <f>1207</f>
        <v>1207</v>
      </c>
      <c r="D21" s="118"/>
      <c r="E21" s="118"/>
      <c r="F21" s="118"/>
      <c r="G21" s="118"/>
      <c r="H21" s="118"/>
      <c r="I21" s="119">
        <f>2050</f>
        <v>2050</v>
      </c>
      <c r="J21" s="119">
        <f t="shared" si="6"/>
        <v>2050</v>
      </c>
      <c r="K21" s="119">
        <f t="shared" si="7"/>
        <v>3257</v>
      </c>
    </row>
    <row r="22" spans="1:11" x14ac:dyDescent="0.25">
      <c r="A22" s="117" t="s">
        <v>218</v>
      </c>
      <c r="B22" s="118"/>
      <c r="C22" s="118"/>
      <c r="D22" s="118"/>
      <c r="E22" s="118"/>
      <c r="F22" s="118"/>
      <c r="G22" s="118"/>
      <c r="H22" s="119">
        <f>275.7</f>
        <v>275.7</v>
      </c>
      <c r="I22" s="118"/>
      <c r="J22" s="119">
        <f t="shared" si="6"/>
        <v>275.7</v>
      </c>
      <c r="K22" s="119">
        <f t="shared" si="7"/>
        <v>275.7</v>
      </c>
    </row>
    <row r="23" spans="1:11" x14ac:dyDescent="0.25">
      <c r="A23" s="117" t="s">
        <v>207</v>
      </c>
      <c r="B23" s="118"/>
      <c r="C23" s="119">
        <f>1200</f>
        <v>1200</v>
      </c>
      <c r="D23" s="118"/>
      <c r="E23" s="118"/>
      <c r="F23" s="118"/>
      <c r="G23" s="118"/>
      <c r="H23" s="118"/>
      <c r="I23" s="119">
        <f>6800</f>
        <v>6800</v>
      </c>
      <c r="J23" s="119">
        <f t="shared" si="6"/>
        <v>6800</v>
      </c>
      <c r="K23" s="119">
        <f t="shared" si="7"/>
        <v>8000</v>
      </c>
    </row>
    <row r="24" spans="1:11" x14ac:dyDescent="0.25">
      <c r="A24" s="117" t="s">
        <v>104</v>
      </c>
      <c r="B24" s="118"/>
      <c r="C24" s="118"/>
      <c r="D24" s="118"/>
      <c r="E24" s="118"/>
      <c r="F24" s="118"/>
      <c r="G24" s="118"/>
      <c r="H24" s="118"/>
      <c r="I24" s="118"/>
      <c r="J24" s="119">
        <f t="shared" si="6"/>
        <v>0</v>
      </c>
      <c r="K24" s="119">
        <f t="shared" si="7"/>
        <v>0</v>
      </c>
    </row>
    <row r="25" spans="1:11" x14ac:dyDescent="0.25">
      <c r="A25" s="117" t="s">
        <v>103</v>
      </c>
      <c r="B25" s="118"/>
      <c r="C25" s="119">
        <f>7615.75</f>
        <v>7615.75</v>
      </c>
      <c r="D25" s="118"/>
      <c r="E25" s="118"/>
      <c r="F25" s="118"/>
      <c r="G25" s="118"/>
      <c r="H25" s="119">
        <f>661.25</f>
        <v>661.25</v>
      </c>
      <c r="I25" s="118"/>
      <c r="J25" s="119">
        <f t="shared" si="6"/>
        <v>661.25</v>
      </c>
      <c r="K25" s="119">
        <f t="shared" si="7"/>
        <v>8277</v>
      </c>
    </row>
    <row r="26" spans="1:11" x14ac:dyDescent="0.25">
      <c r="A26" s="117" t="s">
        <v>102</v>
      </c>
      <c r="B26" s="118"/>
      <c r="C26" s="119">
        <f>13943.7</f>
        <v>13943.7</v>
      </c>
      <c r="D26" s="118"/>
      <c r="E26" s="118"/>
      <c r="F26" s="118"/>
      <c r="G26" s="118"/>
      <c r="H26" s="119">
        <f>11242.85</f>
        <v>11242.85</v>
      </c>
      <c r="I26" s="118"/>
      <c r="J26" s="119">
        <f t="shared" si="6"/>
        <v>11242.85</v>
      </c>
      <c r="K26" s="119">
        <f t="shared" si="7"/>
        <v>25186.550000000003</v>
      </c>
    </row>
    <row r="27" spans="1:11" x14ac:dyDescent="0.25">
      <c r="A27" s="117" t="s">
        <v>101</v>
      </c>
      <c r="B27" s="118"/>
      <c r="C27" s="118"/>
      <c r="D27" s="118"/>
      <c r="E27" s="118"/>
      <c r="F27" s="118"/>
      <c r="G27" s="118"/>
      <c r="H27" s="119">
        <f>245.88</f>
        <v>245.88</v>
      </c>
      <c r="I27" s="118"/>
      <c r="J27" s="119">
        <f t="shared" si="6"/>
        <v>245.88</v>
      </c>
      <c r="K27" s="119">
        <f t="shared" si="7"/>
        <v>245.88</v>
      </c>
    </row>
    <row r="28" spans="1:11" x14ac:dyDescent="0.25">
      <c r="A28" s="117" t="s">
        <v>100</v>
      </c>
      <c r="B28" s="118"/>
      <c r="C28" s="119">
        <f>1394.37</f>
        <v>1394.37</v>
      </c>
      <c r="D28" s="118"/>
      <c r="E28" s="118"/>
      <c r="F28" s="118"/>
      <c r="G28" s="118"/>
      <c r="H28" s="119">
        <f>1338.9</f>
        <v>1338.9</v>
      </c>
      <c r="I28" s="118"/>
      <c r="J28" s="119">
        <f t="shared" si="6"/>
        <v>1338.9</v>
      </c>
      <c r="K28" s="119">
        <f t="shared" si="7"/>
        <v>2733.27</v>
      </c>
    </row>
    <row r="29" spans="1:11" x14ac:dyDescent="0.25">
      <c r="A29" s="117" t="s">
        <v>99</v>
      </c>
      <c r="B29" s="120">
        <f t="shared" ref="B29:I29" si="8">((((B24)+(B25))+(B26))+(B27))+(B28)</f>
        <v>0</v>
      </c>
      <c r="C29" s="120">
        <f t="shared" si="8"/>
        <v>22953.82</v>
      </c>
      <c r="D29" s="120">
        <f t="shared" si="8"/>
        <v>0</v>
      </c>
      <c r="E29" s="120">
        <f t="shared" si="8"/>
        <v>0</v>
      </c>
      <c r="F29" s="120">
        <f t="shared" si="8"/>
        <v>0</v>
      </c>
      <c r="G29" s="120">
        <f t="shared" si="8"/>
        <v>0</v>
      </c>
      <c r="H29" s="120">
        <f t="shared" si="8"/>
        <v>13488.88</v>
      </c>
      <c r="I29" s="120">
        <f t="shared" si="8"/>
        <v>0</v>
      </c>
      <c r="J29" s="120">
        <f t="shared" si="6"/>
        <v>13488.88</v>
      </c>
      <c r="K29" s="120">
        <f t="shared" si="7"/>
        <v>36442.699999999997</v>
      </c>
    </row>
    <row r="30" spans="1:11" x14ac:dyDescent="0.25">
      <c r="A30" s="117" t="s">
        <v>98</v>
      </c>
      <c r="B30" s="118"/>
      <c r="C30" s="118"/>
      <c r="D30" s="118"/>
      <c r="E30" s="118"/>
      <c r="F30" s="118"/>
      <c r="G30" s="118"/>
      <c r="H30" s="118"/>
      <c r="I30" s="118"/>
      <c r="J30" s="119">
        <f t="shared" si="6"/>
        <v>0</v>
      </c>
      <c r="K30" s="119">
        <f t="shared" si="7"/>
        <v>0</v>
      </c>
    </row>
    <row r="31" spans="1:11" x14ac:dyDescent="0.25">
      <c r="A31" s="117" t="s">
        <v>97</v>
      </c>
      <c r="B31" s="118"/>
      <c r="C31" s="119">
        <f>660</f>
        <v>660</v>
      </c>
      <c r="D31" s="118"/>
      <c r="E31" s="118"/>
      <c r="F31" s="118"/>
      <c r="G31" s="118"/>
      <c r="H31" s="119">
        <f>5940</f>
        <v>5940</v>
      </c>
      <c r="I31" s="118"/>
      <c r="J31" s="119">
        <f t="shared" si="6"/>
        <v>5940</v>
      </c>
      <c r="K31" s="119">
        <f t="shared" si="7"/>
        <v>6600</v>
      </c>
    </row>
    <row r="32" spans="1:11" x14ac:dyDescent="0.25">
      <c r="A32" s="117" t="s">
        <v>94</v>
      </c>
      <c r="B32" s="120">
        <f t="shared" ref="B32:I32" si="9">(B30)+(B31)</f>
        <v>0</v>
      </c>
      <c r="C32" s="120">
        <f t="shared" si="9"/>
        <v>660</v>
      </c>
      <c r="D32" s="120">
        <f t="shared" si="9"/>
        <v>0</v>
      </c>
      <c r="E32" s="120">
        <f t="shared" si="9"/>
        <v>0</v>
      </c>
      <c r="F32" s="120">
        <f t="shared" si="9"/>
        <v>0</v>
      </c>
      <c r="G32" s="120">
        <f t="shared" si="9"/>
        <v>0</v>
      </c>
      <c r="H32" s="120">
        <f t="shared" si="9"/>
        <v>5940</v>
      </c>
      <c r="I32" s="120">
        <f t="shared" si="9"/>
        <v>0</v>
      </c>
      <c r="J32" s="120">
        <f t="shared" si="6"/>
        <v>5940</v>
      </c>
      <c r="K32" s="120">
        <f t="shared" si="7"/>
        <v>6600</v>
      </c>
    </row>
    <row r="33" spans="1:11" x14ac:dyDescent="0.25">
      <c r="A33" s="117" t="s">
        <v>93</v>
      </c>
      <c r="B33" s="118"/>
      <c r="C33" s="118"/>
      <c r="D33" s="118"/>
      <c r="E33" s="118"/>
      <c r="F33" s="118"/>
      <c r="G33" s="118"/>
      <c r="H33" s="118"/>
      <c r="I33" s="118"/>
      <c r="J33" s="119">
        <f t="shared" si="6"/>
        <v>0</v>
      </c>
      <c r="K33" s="119">
        <f t="shared" si="7"/>
        <v>0</v>
      </c>
    </row>
    <row r="34" spans="1:11" x14ac:dyDescent="0.25">
      <c r="A34" s="117" t="s">
        <v>92</v>
      </c>
      <c r="B34" s="118"/>
      <c r="C34" s="118"/>
      <c r="D34" s="118"/>
      <c r="E34" s="118"/>
      <c r="F34" s="118"/>
      <c r="G34" s="118"/>
      <c r="H34" s="118"/>
      <c r="I34" s="119">
        <f>0</f>
        <v>0</v>
      </c>
      <c r="J34" s="119">
        <f t="shared" si="6"/>
        <v>0</v>
      </c>
      <c r="K34" s="119">
        <f t="shared" si="7"/>
        <v>0</v>
      </c>
    </row>
    <row r="35" spans="1:11" x14ac:dyDescent="0.25">
      <c r="A35" s="117" t="s">
        <v>91</v>
      </c>
      <c r="B35" s="118"/>
      <c r="C35" s="119">
        <f>631.5</f>
        <v>631.5</v>
      </c>
      <c r="D35" s="118"/>
      <c r="E35" s="118"/>
      <c r="F35" s="118"/>
      <c r="G35" s="118"/>
      <c r="H35" s="119">
        <f>631.5</f>
        <v>631.5</v>
      </c>
      <c r="I35" s="118"/>
      <c r="J35" s="119">
        <f t="shared" si="6"/>
        <v>631.5</v>
      </c>
      <c r="K35" s="119">
        <f t="shared" si="7"/>
        <v>1263</v>
      </c>
    </row>
    <row r="36" spans="1:11" x14ac:dyDescent="0.25">
      <c r="A36" s="117" t="s">
        <v>90</v>
      </c>
      <c r="B36" s="120">
        <f t="shared" ref="B36:I36" si="10">((B33)+(B34))+(B35)</f>
        <v>0</v>
      </c>
      <c r="C36" s="120">
        <f t="shared" si="10"/>
        <v>631.5</v>
      </c>
      <c r="D36" s="120">
        <f t="shared" si="10"/>
        <v>0</v>
      </c>
      <c r="E36" s="120">
        <f t="shared" si="10"/>
        <v>0</v>
      </c>
      <c r="F36" s="120">
        <f t="shared" si="10"/>
        <v>0</v>
      </c>
      <c r="G36" s="120">
        <f t="shared" si="10"/>
        <v>0</v>
      </c>
      <c r="H36" s="120">
        <f t="shared" si="10"/>
        <v>631.5</v>
      </c>
      <c r="I36" s="120">
        <f t="shared" si="10"/>
        <v>0</v>
      </c>
      <c r="J36" s="120">
        <f t="shared" si="6"/>
        <v>631.5</v>
      </c>
      <c r="K36" s="120">
        <f t="shared" si="7"/>
        <v>1263</v>
      </c>
    </row>
    <row r="37" spans="1:11" x14ac:dyDescent="0.25">
      <c r="A37" s="117" t="s">
        <v>89</v>
      </c>
      <c r="B37" s="118"/>
      <c r="C37" s="118"/>
      <c r="D37" s="118"/>
      <c r="E37" s="118"/>
      <c r="F37" s="118"/>
      <c r="G37" s="118"/>
      <c r="H37" s="118"/>
      <c r="I37" s="118"/>
      <c r="J37" s="119">
        <f t="shared" si="6"/>
        <v>0</v>
      </c>
      <c r="K37" s="119">
        <f t="shared" si="7"/>
        <v>0</v>
      </c>
    </row>
    <row r="38" spans="1:11" x14ac:dyDescent="0.25">
      <c r="A38" s="117" t="s">
        <v>88</v>
      </c>
      <c r="B38" s="118"/>
      <c r="C38" s="119">
        <f>249.48</f>
        <v>249.48</v>
      </c>
      <c r="D38" s="118"/>
      <c r="E38" s="118"/>
      <c r="F38" s="118"/>
      <c r="G38" s="118"/>
      <c r="H38" s="119">
        <f>95.94</f>
        <v>95.94</v>
      </c>
      <c r="I38" s="118"/>
      <c r="J38" s="119">
        <f t="shared" si="6"/>
        <v>95.94</v>
      </c>
      <c r="K38" s="119">
        <f t="shared" si="7"/>
        <v>345.41999999999996</v>
      </c>
    </row>
    <row r="39" spans="1:11" x14ac:dyDescent="0.25">
      <c r="A39" s="117" t="s">
        <v>87</v>
      </c>
      <c r="B39" s="118"/>
      <c r="C39" s="118"/>
      <c r="D39" s="118"/>
      <c r="E39" s="118"/>
      <c r="F39" s="118"/>
      <c r="G39" s="118"/>
      <c r="H39" s="119">
        <f>20</f>
        <v>20</v>
      </c>
      <c r="I39" s="119">
        <f>133.41</f>
        <v>133.41</v>
      </c>
      <c r="J39" s="119">
        <f t="shared" si="6"/>
        <v>153.41</v>
      </c>
      <c r="K39" s="119">
        <f t="shared" si="7"/>
        <v>153.41</v>
      </c>
    </row>
    <row r="40" spans="1:11" x14ac:dyDescent="0.25">
      <c r="A40" s="117" t="s">
        <v>85</v>
      </c>
      <c r="B40" s="118"/>
      <c r="C40" s="118"/>
      <c r="D40" s="118"/>
      <c r="E40" s="118"/>
      <c r="F40" s="118"/>
      <c r="G40" s="118"/>
      <c r="H40" s="119">
        <f>678.31</f>
        <v>678.31</v>
      </c>
      <c r="I40" s="118"/>
      <c r="J40" s="119">
        <f t="shared" si="6"/>
        <v>678.31</v>
      </c>
      <c r="K40" s="119">
        <f t="shared" si="7"/>
        <v>678.31</v>
      </c>
    </row>
    <row r="41" spans="1:11" x14ac:dyDescent="0.25">
      <c r="A41" s="117" t="s">
        <v>83</v>
      </c>
      <c r="B41" s="118"/>
      <c r="C41" s="119">
        <f>47.97</f>
        <v>47.97</v>
      </c>
      <c r="D41" s="118"/>
      <c r="E41" s="118"/>
      <c r="F41" s="118"/>
      <c r="G41" s="118"/>
      <c r="H41" s="119">
        <f>223.26</f>
        <v>223.26</v>
      </c>
      <c r="I41" s="118"/>
      <c r="J41" s="119">
        <f t="shared" si="6"/>
        <v>223.26</v>
      </c>
      <c r="K41" s="119">
        <f t="shared" si="7"/>
        <v>271.23</v>
      </c>
    </row>
    <row r="42" spans="1:11" x14ac:dyDescent="0.25">
      <c r="A42" s="117" t="s">
        <v>82</v>
      </c>
      <c r="B42" s="120">
        <f t="shared" ref="B42:I42" si="11">((((B37)+(B38))+(B39))+(B40))+(B41)</f>
        <v>0</v>
      </c>
      <c r="C42" s="120">
        <f t="shared" si="11"/>
        <v>297.45</v>
      </c>
      <c r="D42" s="120">
        <f t="shared" si="11"/>
        <v>0</v>
      </c>
      <c r="E42" s="120">
        <f t="shared" si="11"/>
        <v>0</v>
      </c>
      <c r="F42" s="120">
        <f t="shared" si="11"/>
        <v>0</v>
      </c>
      <c r="G42" s="120">
        <f t="shared" si="11"/>
        <v>0</v>
      </c>
      <c r="H42" s="120">
        <f t="shared" si="11"/>
        <v>1017.51</v>
      </c>
      <c r="I42" s="120">
        <f t="shared" si="11"/>
        <v>133.41</v>
      </c>
      <c r="J42" s="120">
        <f t="shared" si="6"/>
        <v>1150.92</v>
      </c>
      <c r="K42" s="120">
        <f t="shared" si="7"/>
        <v>1448.3700000000001</v>
      </c>
    </row>
    <row r="43" spans="1:11" x14ac:dyDescent="0.25">
      <c r="A43" s="117" t="s">
        <v>81</v>
      </c>
      <c r="B43" s="118"/>
      <c r="C43" s="118"/>
      <c r="D43" s="118"/>
      <c r="E43" s="118"/>
      <c r="F43" s="118"/>
      <c r="G43" s="118"/>
      <c r="H43" s="118"/>
      <c r="I43" s="118"/>
      <c r="J43" s="119">
        <f t="shared" si="6"/>
        <v>0</v>
      </c>
      <c r="K43" s="119">
        <f t="shared" si="7"/>
        <v>0</v>
      </c>
    </row>
    <row r="44" spans="1:11" x14ac:dyDescent="0.25">
      <c r="A44" s="117" t="s">
        <v>190</v>
      </c>
      <c r="B44" s="118"/>
      <c r="C44" s="119">
        <f>80</f>
        <v>80</v>
      </c>
      <c r="D44" s="118"/>
      <c r="E44" s="118"/>
      <c r="F44" s="118"/>
      <c r="G44" s="118"/>
      <c r="H44" s="118"/>
      <c r="I44" s="118"/>
      <c r="J44" s="119">
        <f t="shared" si="6"/>
        <v>0</v>
      </c>
      <c r="K44" s="119">
        <f t="shared" si="7"/>
        <v>80</v>
      </c>
    </row>
    <row r="45" spans="1:11" x14ac:dyDescent="0.25">
      <c r="A45" s="117" t="s">
        <v>80</v>
      </c>
      <c r="B45" s="118"/>
      <c r="C45" s="119">
        <f>634.48</f>
        <v>634.48</v>
      </c>
      <c r="D45" s="118"/>
      <c r="E45" s="118"/>
      <c r="F45" s="118"/>
      <c r="G45" s="118"/>
      <c r="H45" s="118"/>
      <c r="I45" s="118"/>
      <c r="J45" s="119">
        <f t="shared" si="6"/>
        <v>0</v>
      </c>
      <c r="K45" s="119">
        <f t="shared" si="7"/>
        <v>634.48</v>
      </c>
    </row>
    <row r="46" spans="1:11" x14ac:dyDescent="0.25">
      <c r="A46" s="117" t="s">
        <v>77</v>
      </c>
      <c r="B46" s="120">
        <f t="shared" ref="B46:I46" si="12">((B43)+(B44))+(B45)</f>
        <v>0</v>
      </c>
      <c r="C46" s="120">
        <f t="shared" si="12"/>
        <v>714.48</v>
      </c>
      <c r="D46" s="120">
        <f t="shared" si="12"/>
        <v>0</v>
      </c>
      <c r="E46" s="120">
        <f t="shared" si="12"/>
        <v>0</v>
      </c>
      <c r="F46" s="120">
        <f t="shared" si="12"/>
        <v>0</v>
      </c>
      <c r="G46" s="120">
        <f t="shared" si="12"/>
        <v>0</v>
      </c>
      <c r="H46" s="120">
        <f t="shared" si="12"/>
        <v>0</v>
      </c>
      <c r="I46" s="120">
        <f t="shared" si="12"/>
        <v>0</v>
      </c>
      <c r="J46" s="120">
        <f t="shared" si="6"/>
        <v>0</v>
      </c>
      <c r="K46" s="120">
        <f t="shared" si="7"/>
        <v>714.48</v>
      </c>
    </row>
    <row r="47" spans="1:11" x14ac:dyDescent="0.25">
      <c r="A47" s="117" t="s">
        <v>191</v>
      </c>
      <c r="B47" s="118"/>
      <c r="C47" s="118"/>
      <c r="D47" s="118"/>
      <c r="E47" s="118"/>
      <c r="F47" s="118"/>
      <c r="G47" s="118"/>
      <c r="H47" s="118"/>
      <c r="I47" s="119">
        <f>11900</f>
        <v>11900</v>
      </c>
      <c r="J47" s="119">
        <f t="shared" si="6"/>
        <v>11900</v>
      </c>
      <c r="K47" s="119">
        <f t="shared" si="7"/>
        <v>11900</v>
      </c>
    </row>
    <row r="48" spans="1:11" x14ac:dyDescent="0.25">
      <c r="A48" s="117" t="s">
        <v>76</v>
      </c>
      <c r="B48" s="120">
        <f t="shared" ref="B48:I48" si="13">(((((((((((B18)+(B19))+(B20))+(B21))+(B22))+(B23))+(B29))+(B32))+(B36))+(B42))+(B46))+(B47)</f>
        <v>0</v>
      </c>
      <c r="C48" s="120">
        <f t="shared" si="13"/>
        <v>28264.25</v>
      </c>
      <c r="D48" s="120">
        <f t="shared" si="13"/>
        <v>0</v>
      </c>
      <c r="E48" s="120">
        <f t="shared" si="13"/>
        <v>0</v>
      </c>
      <c r="F48" s="120">
        <f t="shared" si="13"/>
        <v>0</v>
      </c>
      <c r="G48" s="120">
        <f t="shared" si="13"/>
        <v>0</v>
      </c>
      <c r="H48" s="120">
        <f t="shared" si="13"/>
        <v>22039.449999999997</v>
      </c>
      <c r="I48" s="120">
        <f t="shared" si="13"/>
        <v>20883.41</v>
      </c>
      <c r="J48" s="120">
        <f t="shared" si="6"/>
        <v>42922.86</v>
      </c>
      <c r="K48" s="120">
        <f t="shared" si="7"/>
        <v>71187.11</v>
      </c>
    </row>
    <row r="49" spans="1:13" x14ac:dyDescent="0.25">
      <c r="A49" s="117" t="s">
        <v>75</v>
      </c>
      <c r="B49" s="120">
        <f t="shared" ref="B49:I49" si="14">(B16)-(B48)</f>
        <v>0</v>
      </c>
      <c r="C49" s="120">
        <f t="shared" si="14"/>
        <v>-18264.260000000002</v>
      </c>
      <c r="D49" s="120">
        <f t="shared" si="14"/>
        <v>0</v>
      </c>
      <c r="E49" s="120">
        <f t="shared" si="14"/>
        <v>0</v>
      </c>
      <c r="F49" s="120">
        <f t="shared" si="14"/>
        <v>0</v>
      </c>
      <c r="G49" s="120">
        <f t="shared" si="14"/>
        <v>58538.960000000006</v>
      </c>
      <c r="H49" s="120">
        <f t="shared" si="14"/>
        <v>-22039.449999999997</v>
      </c>
      <c r="I49" s="120">
        <f t="shared" si="14"/>
        <v>-20883.41</v>
      </c>
      <c r="J49" s="120">
        <f t="shared" si="6"/>
        <v>15616.100000000009</v>
      </c>
      <c r="K49" s="120">
        <f t="shared" si="7"/>
        <v>-2648.1599999999926</v>
      </c>
      <c r="M49" s="76"/>
    </row>
    <row r="50" spans="1:13" x14ac:dyDescent="0.25">
      <c r="A50" s="117" t="s">
        <v>74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</row>
    <row r="51" spans="1:13" x14ac:dyDescent="0.25">
      <c r="A51" s="117" t="s">
        <v>73</v>
      </c>
      <c r="B51" s="119">
        <f>-22800</f>
        <v>-22800</v>
      </c>
      <c r="C51" s="119">
        <f>12800</f>
        <v>12800</v>
      </c>
      <c r="D51" s="119">
        <f>278781</f>
        <v>278781</v>
      </c>
      <c r="E51" s="119">
        <f>116791.51</f>
        <v>116791.51</v>
      </c>
      <c r="F51" s="119">
        <f>1000</f>
        <v>1000</v>
      </c>
      <c r="G51" s="118"/>
      <c r="H51" s="118"/>
      <c r="I51" s="118"/>
      <c r="J51" s="119">
        <f t="shared" ref="J51:J58" si="15">((G51)+(H51))+(I51)</f>
        <v>0</v>
      </c>
      <c r="K51" s="119">
        <f t="shared" ref="K51:K58" si="16">(((((B51)+(C51))+(D51))+(E51))+(F51))+(J51)</f>
        <v>386572.51</v>
      </c>
    </row>
    <row r="52" spans="1:13" x14ac:dyDescent="0.25">
      <c r="A52" s="117" t="s">
        <v>72</v>
      </c>
      <c r="B52" s="118"/>
      <c r="C52" s="118"/>
      <c r="D52" s="118"/>
      <c r="E52" s="118"/>
      <c r="F52" s="118"/>
      <c r="G52" s="118"/>
      <c r="H52" s="118"/>
      <c r="I52" s="118"/>
      <c r="J52" s="119">
        <f t="shared" si="15"/>
        <v>0</v>
      </c>
      <c r="K52" s="119">
        <f t="shared" si="16"/>
        <v>0</v>
      </c>
    </row>
    <row r="53" spans="1:13" x14ac:dyDescent="0.25">
      <c r="A53" s="117" t="s">
        <v>71</v>
      </c>
      <c r="B53" s="118"/>
      <c r="C53" s="118"/>
      <c r="D53" s="119">
        <f>33425.37</f>
        <v>33425.370000000003</v>
      </c>
      <c r="E53" s="119">
        <f>35074.87</f>
        <v>35074.870000000003</v>
      </c>
      <c r="F53" s="119">
        <f>1916.48</f>
        <v>1916.48</v>
      </c>
      <c r="G53" s="118"/>
      <c r="H53" s="118"/>
      <c r="I53" s="118"/>
      <c r="J53" s="119">
        <f t="shared" si="15"/>
        <v>0</v>
      </c>
      <c r="K53" s="119">
        <f t="shared" si="16"/>
        <v>70416.72</v>
      </c>
    </row>
    <row r="54" spans="1:13" x14ac:dyDescent="0.25">
      <c r="A54" s="117" t="s">
        <v>180</v>
      </c>
      <c r="B54" s="118"/>
      <c r="C54" s="118"/>
      <c r="D54" s="119">
        <f>0</f>
        <v>0</v>
      </c>
      <c r="E54" s="119">
        <f>0</f>
        <v>0</v>
      </c>
      <c r="F54" s="119">
        <f>0</f>
        <v>0</v>
      </c>
      <c r="G54" s="118"/>
      <c r="H54" s="118"/>
      <c r="I54" s="118"/>
      <c r="J54" s="119">
        <f t="shared" si="15"/>
        <v>0</v>
      </c>
      <c r="K54" s="119">
        <f t="shared" si="16"/>
        <v>0</v>
      </c>
    </row>
    <row r="55" spans="1:13" x14ac:dyDescent="0.25">
      <c r="A55" s="117" t="s">
        <v>70</v>
      </c>
      <c r="B55" s="118"/>
      <c r="C55" s="118"/>
      <c r="D55" s="119">
        <f>288756.97</f>
        <v>288756.96999999997</v>
      </c>
      <c r="E55" s="119">
        <f>304572.87</f>
        <v>304572.87</v>
      </c>
      <c r="F55" s="119">
        <f>16651.17</f>
        <v>16651.169999999998</v>
      </c>
      <c r="G55" s="118"/>
      <c r="H55" s="118"/>
      <c r="I55" s="118"/>
      <c r="J55" s="119">
        <f t="shared" si="15"/>
        <v>0</v>
      </c>
      <c r="K55" s="119">
        <f t="shared" si="16"/>
        <v>609981.01</v>
      </c>
    </row>
    <row r="56" spans="1:13" x14ac:dyDescent="0.25">
      <c r="A56" s="117" t="s">
        <v>69</v>
      </c>
      <c r="B56" s="118"/>
      <c r="C56" s="118"/>
      <c r="D56" s="119">
        <f>-14301.39</f>
        <v>-14301.39</v>
      </c>
      <c r="E56" s="119">
        <f>-15749.12</f>
        <v>-15749.12</v>
      </c>
      <c r="F56" s="119">
        <f>0</f>
        <v>0</v>
      </c>
      <c r="G56" s="118"/>
      <c r="H56" s="118"/>
      <c r="I56" s="118"/>
      <c r="J56" s="119">
        <f t="shared" si="15"/>
        <v>0</v>
      </c>
      <c r="K56" s="119">
        <f t="shared" si="16"/>
        <v>-30050.510000000002</v>
      </c>
    </row>
    <row r="57" spans="1:13" x14ac:dyDescent="0.25">
      <c r="A57" s="117" t="s">
        <v>68</v>
      </c>
      <c r="B57" s="120">
        <f t="shared" ref="B57:I57" si="17">((((B52)+(B53))+(B54))+(B55))+(B56)</f>
        <v>0</v>
      </c>
      <c r="C57" s="120">
        <f t="shared" si="17"/>
        <v>0</v>
      </c>
      <c r="D57" s="120">
        <f t="shared" si="17"/>
        <v>307880.94999999995</v>
      </c>
      <c r="E57" s="120">
        <f t="shared" si="17"/>
        <v>323898.62</v>
      </c>
      <c r="F57" s="120">
        <f t="shared" si="17"/>
        <v>18567.649999999998</v>
      </c>
      <c r="G57" s="120">
        <f t="shared" si="17"/>
        <v>0</v>
      </c>
      <c r="H57" s="120">
        <f t="shared" si="17"/>
        <v>0</v>
      </c>
      <c r="I57" s="120">
        <f t="shared" si="17"/>
        <v>0</v>
      </c>
      <c r="J57" s="120">
        <f t="shared" si="15"/>
        <v>0</v>
      </c>
      <c r="K57" s="120">
        <f t="shared" si="16"/>
        <v>650347.22</v>
      </c>
    </row>
    <row r="58" spans="1:13" x14ac:dyDescent="0.25">
      <c r="A58" s="117" t="s">
        <v>67</v>
      </c>
      <c r="B58" s="120">
        <f t="shared" ref="B58:I58" si="18">(B51)+(B57)</f>
        <v>-22800</v>
      </c>
      <c r="C58" s="120">
        <f t="shared" si="18"/>
        <v>12800</v>
      </c>
      <c r="D58" s="120">
        <f t="shared" si="18"/>
        <v>586661.94999999995</v>
      </c>
      <c r="E58" s="120">
        <f t="shared" si="18"/>
        <v>440690.13</v>
      </c>
      <c r="F58" s="120">
        <f t="shared" si="18"/>
        <v>19567.649999999998</v>
      </c>
      <c r="G58" s="120">
        <f t="shared" si="18"/>
        <v>0</v>
      </c>
      <c r="H58" s="120">
        <f t="shared" si="18"/>
        <v>0</v>
      </c>
      <c r="I58" s="120">
        <f t="shared" si="18"/>
        <v>0</v>
      </c>
      <c r="J58" s="120">
        <f t="shared" si="15"/>
        <v>0</v>
      </c>
      <c r="K58" s="120">
        <f t="shared" si="16"/>
        <v>1036919.73</v>
      </c>
    </row>
    <row r="59" spans="1:13" x14ac:dyDescent="0.25">
      <c r="A59" s="117" t="s">
        <v>66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</row>
    <row r="60" spans="1:13" x14ac:dyDescent="0.25">
      <c r="A60" s="117" t="s">
        <v>65</v>
      </c>
      <c r="B60" s="118"/>
      <c r="C60" s="118"/>
      <c r="D60" s="119">
        <f>227115.61</f>
        <v>227115.61</v>
      </c>
      <c r="E60" s="119">
        <f>-41375.03</f>
        <v>-41375.03</v>
      </c>
      <c r="F60" s="119">
        <f>437562.22</f>
        <v>437562.22</v>
      </c>
      <c r="G60" s="119">
        <f>-20000</f>
        <v>-20000</v>
      </c>
      <c r="H60" s="118"/>
      <c r="I60" s="118"/>
      <c r="J60" s="119">
        <f>((G60)+(H60))+(I60)</f>
        <v>-20000</v>
      </c>
      <c r="K60" s="119">
        <f>(((((B60)+(C60))+(D60))+(E60))+(F60))+(J60)</f>
        <v>603302.79999999993</v>
      </c>
    </row>
    <row r="61" spans="1:13" x14ac:dyDescent="0.25">
      <c r="A61" s="117" t="s">
        <v>64</v>
      </c>
      <c r="B61" s="120">
        <f t="shared" ref="B61:I61" si="19">B60</f>
        <v>0</v>
      </c>
      <c r="C61" s="120">
        <f t="shared" si="19"/>
        <v>0</v>
      </c>
      <c r="D61" s="120">
        <f t="shared" si="19"/>
        <v>227115.61</v>
      </c>
      <c r="E61" s="120">
        <f t="shared" si="19"/>
        <v>-41375.03</v>
      </c>
      <c r="F61" s="120">
        <f t="shared" si="19"/>
        <v>437562.22</v>
      </c>
      <c r="G61" s="120">
        <f t="shared" si="19"/>
        <v>-20000</v>
      </c>
      <c r="H61" s="120">
        <f t="shared" si="19"/>
        <v>0</v>
      </c>
      <c r="I61" s="120">
        <f t="shared" si="19"/>
        <v>0</v>
      </c>
      <c r="J61" s="120">
        <f>((G61)+(H61))+(I61)</f>
        <v>-20000</v>
      </c>
      <c r="K61" s="120">
        <f>(((((B61)+(C61))+(D61))+(E61))+(F61))+(J61)</f>
        <v>603302.79999999993</v>
      </c>
    </row>
    <row r="62" spans="1:13" x14ac:dyDescent="0.25">
      <c r="A62" s="117" t="s">
        <v>63</v>
      </c>
      <c r="B62" s="120">
        <f t="shared" ref="B62:I62" si="20">(B58)-(B61)</f>
        <v>-22800</v>
      </c>
      <c r="C62" s="120">
        <f t="shared" si="20"/>
        <v>12800</v>
      </c>
      <c r="D62" s="120">
        <f t="shared" si="20"/>
        <v>359546.33999999997</v>
      </c>
      <c r="E62" s="120">
        <f t="shared" si="20"/>
        <v>482065.16000000003</v>
      </c>
      <c r="F62" s="120">
        <f t="shared" si="20"/>
        <v>-417994.56999999995</v>
      </c>
      <c r="G62" s="120">
        <f t="shared" si="20"/>
        <v>20000</v>
      </c>
      <c r="H62" s="120">
        <f t="shared" si="20"/>
        <v>0</v>
      </c>
      <c r="I62" s="120">
        <f t="shared" si="20"/>
        <v>0</v>
      </c>
      <c r="J62" s="120">
        <f>((G62)+(H62))+(I62)</f>
        <v>20000</v>
      </c>
      <c r="K62" s="120">
        <f>(((((B62)+(C62))+(D62))+(E62))+(F62))+(J62)</f>
        <v>433616.93000000005</v>
      </c>
    </row>
    <row r="63" spans="1:13" x14ac:dyDescent="0.25">
      <c r="A63" s="117" t="s">
        <v>62</v>
      </c>
      <c r="B63" s="120">
        <f t="shared" ref="B63:I63" si="21">(B49)+(B62)</f>
        <v>-22800</v>
      </c>
      <c r="C63" s="120">
        <f t="shared" si="21"/>
        <v>-5464.260000000002</v>
      </c>
      <c r="D63" s="120">
        <f t="shared" si="21"/>
        <v>359546.33999999997</v>
      </c>
      <c r="E63" s="120">
        <f t="shared" si="21"/>
        <v>482065.16000000003</v>
      </c>
      <c r="F63" s="120">
        <f t="shared" si="21"/>
        <v>-417994.56999999995</v>
      </c>
      <c r="G63" s="120">
        <f t="shared" si="21"/>
        <v>78538.960000000006</v>
      </c>
      <c r="H63" s="120">
        <f t="shared" si="21"/>
        <v>-22039.449999999997</v>
      </c>
      <c r="I63" s="120">
        <f t="shared" si="21"/>
        <v>-20883.41</v>
      </c>
      <c r="J63" s="120">
        <f>((G63)+(H63))+(I63)</f>
        <v>35616.100000000006</v>
      </c>
      <c r="K63" s="120">
        <f>(((((B63)+(C63))+(D63))+(E63))+(F63))+(J63)</f>
        <v>430968.77</v>
      </c>
    </row>
    <row r="64" spans="1:13" x14ac:dyDescent="0.25">
      <c r="A64" s="117"/>
      <c r="B64" s="118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25">
      <c r="A65" s="112" t="s">
        <v>61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</row>
    <row r="67" spans="1:11" x14ac:dyDescent="0.25">
      <c r="A67" s="121" t="s">
        <v>246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</sheetData>
  <mergeCells count="5">
    <mergeCell ref="A67:K67"/>
    <mergeCell ref="A1:K1"/>
    <mergeCell ref="A2:K2"/>
    <mergeCell ref="A3:K3"/>
    <mergeCell ref="A65:K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2"/>
  <sheetViews>
    <sheetView workbookViewId="0">
      <selection activeCell="I8" sqref="I8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09" t="s">
        <v>59</v>
      </c>
      <c r="B1" s="110"/>
      <c r="C1" s="110"/>
      <c r="D1" s="110"/>
      <c r="E1" s="110"/>
      <c r="F1" s="110"/>
      <c r="G1" s="110"/>
    </row>
    <row r="2" spans="1:7" ht="18" x14ac:dyDescent="0.25">
      <c r="A2" s="109" t="s">
        <v>132</v>
      </c>
      <c r="B2" s="110"/>
      <c r="C2" s="110"/>
      <c r="D2" s="110"/>
      <c r="E2" s="110"/>
      <c r="F2" s="110"/>
      <c r="G2" s="110"/>
    </row>
    <row r="3" spans="1:7" x14ac:dyDescent="0.25">
      <c r="A3" s="111" t="s">
        <v>243</v>
      </c>
      <c r="B3" s="110"/>
      <c r="C3" s="110"/>
      <c r="D3" s="110"/>
      <c r="E3" s="110"/>
      <c r="F3" s="110"/>
      <c r="G3" s="110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217</v>
      </c>
      <c r="B6" s="5">
        <f>2000</f>
        <v>2000</v>
      </c>
      <c r="C6" s="2"/>
      <c r="D6" s="2"/>
      <c r="E6" s="2"/>
      <c r="F6" s="2"/>
      <c r="G6" s="5">
        <f>((((B6)+(C6))+(D6))+(E6))+(F6)</f>
        <v>2000</v>
      </c>
    </row>
    <row r="7" spans="1:7" x14ac:dyDescent="0.25">
      <c r="A7" s="3" t="s">
        <v>202</v>
      </c>
      <c r="B7" s="5">
        <f>2200</f>
        <v>2200</v>
      </c>
      <c r="C7" s="2"/>
      <c r="D7" s="2"/>
      <c r="E7" s="2"/>
      <c r="F7" s="2"/>
      <c r="G7" s="5">
        <f>((((B7)+(C7))+(D7))+(E7))+(F7)</f>
        <v>2200</v>
      </c>
    </row>
    <row r="8" spans="1:7" x14ac:dyDescent="0.25">
      <c r="A8" s="3" t="s">
        <v>126</v>
      </c>
      <c r="B8" s="4">
        <f>(B6)+(B7)</f>
        <v>4200</v>
      </c>
      <c r="C8" s="4">
        <f>(C6)+(C7)</f>
        <v>0</v>
      </c>
      <c r="D8" s="4">
        <f>(D6)+(D7)</f>
        <v>0</v>
      </c>
      <c r="E8" s="4">
        <f>(E6)+(E7)</f>
        <v>0</v>
      </c>
      <c r="F8" s="4">
        <f>(F6)+(F7)</f>
        <v>0</v>
      </c>
      <c r="G8" s="4">
        <f>((((B8)+(C8))+(D8))+(E8))+(F8)</f>
        <v>4200</v>
      </c>
    </row>
    <row r="9" spans="1:7" x14ac:dyDescent="0.25">
      <c r="A9" s="3"/>
      <c r="B9" s="2"/>
      <c r="C9" s="2"/>
      <c r="D9" s="2"/>
      <c r="E9" s="2"/>
      <c r="F9" s="2"/>
      <c r="G9" s="2"/>
    </row>
    <row r="12" spans="1:7" x14ac:dyDescent="0.25">
      <c r="A12" s="113" t="s">
        <v>248</v>
      </c>
      <c r="B12" s="110"/>
      <c r="C12" s="110"/>
      <c r="D12" s="110"/>
      <c r="E12" s="110"/>
      <c r="F12" s="110"/>
      <c r="G12" s="110"/>
    </row>
  </sheetData>
  <mergeCells count="4">
    <mergeCell ref="A1:G1"/>
    <mergeCell ref="A2:G2"/>
    <mergeCell ref="A3:G3"/>
    <mergeCell ref="A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D8" sqref="D8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09" t="s">
        <v>59</v>
      </c>
      <c r="B1" s="110"/>
      <c r="C1" s="110"/>
      <c r="D1" s="110"/>
      <c r="E1" s="110"/>
      <c r="F1" s="110"/>
      <c r="G1" s="110"/>
    </row>
    <row r="2" spans="1:7" ht="18" x14ac:dyDescent="0.25">
      <c r="A2" s="109" t="s">
        <v>201</v>
      </c>
      <c r="B2" s="110"/>
      <c r="C2" s="110"/>
      <c r="D2" s="110"/>
      <c r="E2" s="110"/>
      <c r="F2" s="110"/>
      <c r="G2" s="110"/>
    </row>
    <row r="3" spans="1:7" x14ac:dyDescent="0.25">
      <c r="A3" s="111" t="s">
        <v>243</v>
      </c>
      <c r="B3" s="110"/>
      <c r="C3" s="110"/>
      <c r="D3" s="110"/>
      <c r="E3" s="110"/>
      <c r="F3" s="110"/>
      <c r="G3" s="110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206</v>
      </c>
      <c r="B6" s="5">
        <f>6666.66</f>
        <v>6666.66</v>
      </c>
      <c r="C6" s="2"/>
      <c r="D6" s="5">
        <f>3333.33</f>
        <v>3333.33</v>
      </c>
      <c r="E6" s="2"/>
      <c r="F6" s="2"/>
      <c r="G6" s="5">
        <f>((((B6)+(C6))+(D6))+(E6))+(F6)</f>
        <v>9999.99</v>
      </c>
    </row>
    <row r="7" spans="1:7" x14ac:dyDescent="0.25">
      <c r="A7" s="3" t="s">
        <v>126</v>
      </c>
      <c r="B7" s="4">
        <f>B6</f>
        <v>6666.66</v>
      </c>
      <c r="C7" s="4">
        <f>C6</f>
        <v>0</v>
      </c>
      <c r="D7" s="4">
        <f>D6</f>
        <v>3333.33</v>
      </c>
      <c r="E7" s="4">
        <f>E6</f>
        <v>0</v>
      </c>
      <c r="F7" s="4">
        <f>F6</f>
        <v>0</v>
      </c>
      <c r="G7" s="4">
        <f>((((B7)+(C7))+(D7))+(E7))+(F7)</f>
        <v>9999.99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13" t="s">
        <v>247</v>
      </c>
      <c r="B11" s="110"/>
      <c r="C11" s="110"/>
      <c r="D11" s="110"/>
      <c r="E11" s="110"/>
      <c r="F11" s="110"/>
      <c r="G11" s="110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2024-10-20T20:44:11Z</dcterms:modified>
</cp:coreProperties>
</file>