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stein\Jewish Community Foundation\Admin\Budget\Fiscal 2024\3 2023.10.31 for November 29 Board Meeting\"/>
    </mc:Choice>
  </mc:AlternateContent>
  <xr:revisionPtr revIDLastSave="0" documentId="13_ncr:1_{F7E1DD14-FE7A-4A63-8042-055F21EE05D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Summary Table" sheetId="6" r:id="rId1"/>
    <sheet name="Funds and Assets" sheetId="5" r:id="rId2"/>
    <sheet name="Statement of Financial Position" sheetId="1" r:id="rId3"/>
    <sheet name="Budget vs. Actuals" sheetId="2" r:id="rId4"/>
    <sheet name="L &amp; L Grinspoon" sheetId="12" r:id="rId5"/>
    <sheet name="A P Aging Summary" sheetId="4" r:id="rId6"/>
    <sheet name="AR Aging" sheetId="9" r:id="rId7"/>
  </sheets>
  <externalReferences>
    <externalReference r:id="rId8"/>
    <externalReference r:id="rId9"/>
  </externalReferences>
  <definedNames>
    <definedName name="_xlnm.Print_Area" localSheetId="3">'Budget vs. Actuals'!#REF!</definedName>
    <definedName name="_xlnm.Print_Titles" localSheetId="3">'Budget vs. Actuals'!$A:$E,'Budget vs. Actuals'!$7:$9</definedName>
  </definedNames>
  <calcPr calcId="191029"/>
  <pivotCaches>
    <pivotCache cacheId="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" l="1"/>
  <c r="B64" i="2"/>
  <c r="H29" i="2" l="1"/>
  <c r="P15" i="6"/>
  <c r="P14" i="6"/>
  <c r="P13" i="6"/>
  <c r="P12" i="6"/>
  <c r="C63" i="1" l="1"/>
  <c r="B63" i="1"/>
  <c r="C62" i="1"/>
  <c r="B62" i="1"/>
  <c r="C61" i="1"/>
  <c r="B61" i="1"/>
  <c r="C60" i="1"/>
  <c r="B60" i="1"/>
  <c r="C59" i="1"/>
  <c r="C64" i="1" s="1"/>
  <c r="B59" i="1"/>
  <c r="B64" i="1" s="1"/>
  <c r="C54" i="1"/>
  <c r="B54" i="1"/>
  <c r="C53" i="1"/>
  <c r="B53" i="1"/>
  <c r="C52" i="1"/>
  <c r="C55" i="1" s="1"/>
  <c r="B52" i="1"/>
  <c r="B55" i="1" s="1"/>
  <c r="C50" i="1"/>
  <c r="C56" i="1" s="1"/>
  <c r="C57" i="1" s="1"/>
  <c r="C65" i="1" s="1"/>
  <c r="B50" i="1"/>
  <c r="C49" i="1"/>
  <c r="B49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C37" i="1" s="1"/>
  <c r="B35" i="1"/>
  <c r="B37" i="1" s="1"/>
  <c r="C33" i="1"/>
  <c r="B33" i="1"/>
  <c r="C32" i="1"/>
  <c r="B32" i="1"/>
  <c r="C31" i="1"/>
  <c r="B31" i="1"/>
  <c r="C30" i="1"/>
  <c r="C34" i="1" s="1"/>
  <c r="C43" i="1" s="1"/>
  <c r="B30" i="1"/>
  <c r="B34" i="1" s="1"/>
  <c r="B43" i="1" s="1"/>
  <c r="B27" i="1"/>
  <c r="B28" i="1" s="1"/>
  <c r="C26" i="1"/>
  <c r="B26" i="1"/>
  <c r="C25" i="1"/>
  <c r="C27" i="1" s="1"/>
  <c r="C28" i="1" s="1"/>
  <c r="B25" i="1"/>
  <c r="B22" i="1"/>
  <c r="C21" i="1"/>
  <c r="C22" i="1" s="1"/>
  <c r="B21" i="1"/>
  <c r="C18" i="1"/>
  <c r="C19" i="1" s="1"/>
  <c r="B18" i="1"/>
  <c r="B19" i="1" s="1"/>
  <c r="B16" i="1"/>
  <c r="B23" i="1" s="1"/>
  <c r="B15" i="1"/>
  <c r="C14" i="1"/>
  <c r="B14" i="1"/>
  <c r="C13" i="1"/>
  <c r="B13" i="1"/>
  <c r="C12" i="1"/>
  <c r="B12" i="1"/>
  <c r="C11" i="1"/>
  <c r="B11" i="1"/>
  <c r="C10" i="1"/>
  <c r="C16" i="1" s="1"/>
  <c r="B10" i="1"/>
  <c r="C77" i="2"/>
  <c r="E77" i="2" s="1"/>
  <c r="E76" i="2"/>
  <c r="B76" i="2"/>
  <c r="B77" i="2" s="1"/>
  <c r="D77" i="2" s="1"/>
  <c r="C73" i="2"/>
  <c r="C74" i="2" s="1"/>
  <c r="E72" i="2"/>
  <c r="B72" i="2"/>
  <c r="D72" i="2" s="1"/>
  <c r="E71" i="2"/>
  <c r="B71" i="2"/>
  <c r="D71" i="2" s="1"/>
  <c r="E70" i="2"/>
  <c r="B70" i="2"/>
  <c r="B73" i="2" s="1"/>
  <c r="D73" i="2" s="1"/>
  <c r="E69" i="2"/>
  <c r="B69" i="2"/>
  <c r="D69" i="2" s="1"/>
  <c r="E68" i="2"/>
  <c r="D68" i="2"/>
  <c r="E67" i="2"/>
  <c r="B67" i="2"/>
  <c r="B74" i="2" s="1"/>
  <c r="E61" i="2"/>
  <c r="D61" i="2"/>
  <c r="C61" i="2"/>
  <c r="C60" i="2"/>
  <c r="D60" i="2" s="1"/>
  <c r="C59" i="2"/>
  <c r="E59" i="2" s="1"/>
  <c r="B59" i="2"/>
  <c r="D59" i="2" s="1"/>
  <c r="C58" i="2"/>
  <c r="E58" i="2" s="1"/>
  <c r="B58" i="2"/>
  <c r="D58" i="2" s="1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7" i="2"/>
  <c r="D47" i="2"/>
  <c r="C47" i="2"/>
  <c r="B47" i="2"/>
  <c r="E43" i="2"/>
  <c r="D43" i="2"/>
  <c r="C43" i="2"/>
  <c r="B43" i="2"/>
  <c r="E42" i="2"/>
  <c r="D42" i="2"/>
  <c r="C42" i="2"/>
  <c r="B42" i="2"/>
  <c r="E41" i="2"/>
  <c r="D41" i="2"/>
  <c r="C41" i="2"/>
  <c r="B41" i="2"/>
  <c r="C38" i="2"/>
  <c r="E38" i="2" s="1"/>
  <c r="B38" i="2"/>
  <c r="D37" i="2"/>
  <c r="C37" i="2"/>
  <c r="E37" i="2" s="1"/>
  <c r="B37" i="2"/>
  <c r="C36" i="2"/>
  <c r="D36" i="2" s="1"/>
  <c r="B36" i="2"/>
  <c r="E35" i="2"/>
  <c r="D35" i="2"/>
  <c r="B35" i="2"/>
  <c r="E33" i="2"/>
  <c r="D33" i="2"/>
  <c r="C33" i="2"/>
  <c r="C32" i="2"/>
  <c r="E32" i="2" s="1"/>
  <c r="B32" i="2"/>
  <c r="E31" i="2"/>
  <c r="D31" i="2"/>
  <c r="C31" i="2"/>
  <c r="C30" i="2"/>
  <c r="D30" i="2" s="1"/>
  <c r="B30" i="2"/>
  <c r="C29" i="2"/>
  <c r="E29" i="2" s="1"/>
  <c r="B29" i="2"/>
  <c r="E28" i="2"/>
  <c r="B28" i="2"/>
  <c r="D28" i="2" s="1"/>
  <c r="C27" i="2"/>
  <c r="E27" i="2" s="1"/>
  <c r="C26" i="2"/>
  <c r="B26" i="2"/>
  <c r="C25" i="2"/>
  <c r="B25" i="2"/>
  <c r="D25" i="2" s="1"/>
  <c r="C24" i="2"/>
  <c r="E24" i="2" s="1"/>
  <c r="C23" i="2"/>
  <c r="E23" i="2" s="1"/>
  <c r="C22" i="2"/>
  <c r="B22" i="2"/>
  <c r="E18" i="2"/>
  <c r="B18" i="2"/>
  <c r="D18" i="2" s="1"/>
  <c r="C16" i="2"/>
  <c r="E16" i="2" s="1"/>
  <c r="B16" i="2"/>
  <c r="C14" i="2"/>
  <c r="C15" i="2" s="1"/>
  <c r="B14" i="2"/>
  <c r="B15" i="2" s="1"/>
  <c r="E13" i="2"/>
  <c r="D13" i="2"/>
  <c r="C12" i="2"/>
  <c r="B12" i="2"/>
  <c r="F37" i="2"/>
  <c r="F7" i="9"/>
  <c r="E7" i="9"/>
  <c r="C7" i="9"/>
  <c r="D6" i="9"/>
  <c r="D7" i="9" s="1"/>
  <c r="B6" i="9"/>
  <c r="B7" i="9" s="1"/>
  <c r="F11" i="4"/>
  <c r="E10" i="4"/>
  <c r="E11" i="4" s="1"/>
  <c r="D10" i="4"/>
  <c r="D11" i="4" s="1"/>
  <c r="C10" i="4"/>
  <c r="B9" i="4"/>
  <c r="G9" i="4" s="1"/>
  <c r="B8" i="4"/>
  <c r="G8" i="4" s="1"/>
  <c r="C7" i="4"/>
  <c r="C11" i="4" s="1"/>
  <c r="B7" i="4"/>
  <c r="G7" i="4" s="1"/>
  <c r="G6" i="4"/>
  <c r="C6" i="4"/>
  <c r="J63" i="12"/>
  <c r="I63" i="12"/>
  <c r="H63" i="12"/>
  <c r="C63" i="12"/>
  <c r="K62" i="12"/>
  <c r="G62" i="12"/>
  <c r="G63" i="12" s="1"/>
  <c r="K63" i="12" s="1"/>
  <c r="F62" i="12"/>
  <c r="L62" i="12" s="1"/>
  <c r="E62" i="12"/>
  <c r="E63" i="12" s="1"/>
  <c r="D62" i="12"/>
  <c r="D63" i="12" s="1"/>
  <c r="B62" i="12"/>
  <c r="B63" i="12" s="1"/>
  <c r="J60" i="12"/>
  <c r="J64" i="12" s="1"/>
  <c r="H60" i="12"/>
  <c r="H64" i="12" s="1"/>
  <c r="K59" i="12"/>
  <c r="J59" i="12"/>
  <c r="I59" i="12"/>
  <c r="I60" i="12" s="1"/>
  <c r="I64" i="12" s="1"/>
  <c r="H59" i="12"/>
  <c r="G59" i="12"/>
  <c r="G60" i="12" s="1"/>
  <c r="F59" i="12"/>
  <c r="C59" i="12"/>
  <c r="C60" i="12" s="1"/>
  <c r="C64" i="12" s="1"/>
  <c r="B59" i="12"/>
  <c r="K58" i="12"/>
  <c r="F58" i="12"/>
  <c r="E58" i="12"/>
  <c r="E59" i="12" s="1"/>
  <c r="D58" i="12"/>
  <c r="L58" i="12" s="1"/>
  <c r="K57" i="12"/>
  <c r="F57" i="12"/>
  <c r="E57" i="12"/>
  <c r="D57" i="12"/>
  <c r="L57" i="12" s="1"/>
  <c r="K56" i="12"/>
  <c r="F56" i="12"/>
  <c r="E56" i="12"/>
  <c r="D56" i="12"/>
  <c r="L56" i="12" s="1"/>
  <c r="K55" i="12"/>
  <c r="F55" i="12"/>
  <c r="E55" i="12"/>
  <c r="D55" i="12"/>
  <c r="D59" i="12" s="1"/>
  <c r="L54" i="12"/>
  <c r="K54" i="12"/>
  <c r="L53" i="12"/>
  <c r="K53" i="12"/>
  <c r="F53" i="12"/>
  <c r="F60" i="12" s="1"/>
  <c r="E53" i="12"/>
  <c r="D53" i="12"/>
  <c r="B53" i="12"/>
  <c r="B60" i="12" s="1"/>
  <c r="K49" i="12"/>
  <c r="L49" i="12" s="1"/>
  <c r="J49" i="12"/>
  <c r="I48" i="12"/>
  <c r="H48" i="12"/>
  <c r="G48" i="12"/>
  <c r="F48" i="12"/>
  <c r="E48" i="12"/>
  <c r="D48" i="12"/>
  <c r="B48" i="12"/>
  <c r="J47" i="12"/>
  <c r="J48" i="12" s="1"/>
  <c r="K48" i="12" s="1"/>
  <c r="C47" i="12"/>
  <c r="K46" i="12"/>
  <c r="C46" i="12"/>
  <c r="L46" i="12" s="1"/>
  <c r="K45" i="12"/>
  <c r="L45" i="12" s="1"/>
  <c r="J44" i="12"/>
  <c r="H44" i="12"/>
  <c r="G44" i="12"/>
  <c r="F44" i="12"/>
  <c r="E44" i="12"/>
  <c r="D44" i="12"/>
  <c r="B44" i="12"/>
  <c r="I43" i="12"/>
  <c r="K43" i="12" s="1"/>
  <c r="L43" i="12" s="1"/>
  <c r="C43" i="12"/>
  <c r="L42" i="12"/>
  <c r="K42" i="12"/>
  <c r="I42" i="12"/>
  <c r="L41" i="12"/>
  <c r="K41" i="12"/>
  <c r="C41" i="12"/>
  <c r="L40" i="12"/>
  <c r="K40" i="12"/>
  <c r="C40" i="12"/>
  <c r="C44" i="12" s="1"/>
  <c r="I39" i="12"/>
  <c r="K39" i="12" s="1"/>
  <c r="L39" i="12" s="1"/>
  <c r="L38" i="12"/>
  <c r="K38" i="12"/>
  <c r="H37" i="12"/>
  <c r="G37" i="12"/>
  <c r="F37" i="12"/>
  <c r="E37" i="12"/>
  <c r="D37" i="12"/>
  <c r="B37" i="12"/>
  <c r="I36" i="12"/>
  <c r="I37" i="12" s="1"/>
  <c r="G36" i="12"/>
  <c r="K36" i="12" s="1"/>
  <c r="C36" i="12"/>
  <c r="C37" i="12" s="1"/>
  <c r="J35" i="12"/>
  <c r="K35" i="12" s="1"/>
  <c r="L35" i="12" s="1"/>
  <c r="L34" i="12"/>
  <c r="K34" i="12"/>
  <c r="J33" i="12"/>
  <c r="I33" i="12"/>
  <c r="K33" i="12" s="1"/>
  <c r="H33" i="12"/>
  <c r="G33" i="12"/>
  <c r="F33" i="12"/>
  <c r="E33" i="12"/>
  <c r="D33" i="12"/>
  <c r="B33" i="12"/>
  <c r="I32" i="12"/>
  <c r="K32" i="12" s="1"/>
  <c r="L32" i="12" s="1"/>
  <c r="I31" i="12"/>
  <c r="K31" i="12" s="1"/>
  <c r="C31" i="12"/>
  <c r="C33" i="12" s="1"/>
  <c r="K30" i="12"/>
  <c r="L30" i="12" s="1"/>
  <c r="J29" i="12"/>
  <c r="H29" i="12"/>
  <c r="H50" i="12" s="1"/>
  <c r="G29" i="12"/>
  <c r="G50" i="12" s="1"/>
  <c r="F29" i="12"/>
  <c r="E29" i="12"/>
  <c r="E50" i="12" s="1"/>
  <c r="D29" i="12"/>
  <c r="D50" i="12" s="1"/>
  <c r="B29" i="12"/>
  <c r="K28" i="12"/>
  <c r="I28" i="12"/>
  <c r="C28" i="12"/>
  <c r="L28" i="12" s="1"/>
  <c r="I27" i="12"/>
  <c r="K27" i="12" s="1"/>
  <c r="L27" i="12" s="1"/>
  <c r="I26" i="12"/>
  <c r="I29" i="12" s="1"/>
  <c r="C26" i="12"/>
  <c r="C29" i="12" s="1"/>
  <c r="K25" i="12"/>
  <c r="L25" i="12" s="1"/>
  <c r="C25" i="12"/>
  <c r="L24" i="12"/>
  <c r="K24" i="12"/>
  <c r="K23" i="12"/>
  <c r="C23" i="12"/>
  <c r="L23" i="12" s="1"/>
  <c r="K22" i="12"/>
  <c r="J22" i="12"/>
  <c r="C22" i="12"/>
  <c r="L22" i="12" s="1"/>
  <c r="K21" i="12"/>
  <c r="C21" i="12"/>
  <c r="L21" i="12" s="1"/>
  <c r="I20" i="12"/>
  <c r="K20" i="12" s="1"/>
  <c r="L20" i="12" s="1"/>
  <c r="K19" i="12"/>
  <c r="I19" i="12"/>
  <c r="H19" i="12"/>
  <c r="F19" i="12"/>
  <c r="F50" i="12" s="1"/>
  <c r="K18" i="12"/>
  <c r="C18" i="12"/>
  <c r="L18" i="12" s="1"/>
  <c r="H15" i="12"/>
  <c r="H16" i="12" s="1"/>
  <c r="K14" i="12"/>
  <c r="L14" i="12" s="1"/>
  <c r="G14" i="12"/>
  <c r="I13" i="12"/>
  <c r="I15" i="12" s="1"/>
  <c r="I16" i="12" s="1"/>
  <c r="H13" i="12"/>
  <c r="F13" i="12"/>
  <c r="F15" i="12" s="1"/>
  <c r="F16" i="12" s="1"/>
  <c r="L12" i="12"/>
  <c r="K12" i="12"/>
  <c r="C12" i="12"/>
  <c r="C13" i="12" s="1"/>
  <c r="C15" i="12" s="1"/>
  <c r="C16" i="12" s="1"/>
  <c r="J11" i="12"/>
  <c r="J13" i="12" s="1"/>
  <c r="J15" i="12" s="1"/>
  <c r="J16" i="12" s="1"/>
  <c r="I11" i="12"/>
  <c r="H11" i="12"/>
  <c r="F11" i="12"/>
  <c r="E11" i="12"/>
  <c r="E13" i="12" s="1"/>
  <c r="E15" i="12" s="1"/>
  <c r="E16" i="12" s="1"/>
  <c r="E51" i="12" s="1"/>
  <c r="D11" i="12"/>
  <c r="C11" i="12"/>
  <c r="B11" i="12"/>
  <c r="B13" i="12" s="1"/>
  <c r="G10" i="12"/>
  <c r="K10" i="12" s="1"/>
  <c r="L10" i="12" s="1"/>
  <c r="L9" i="12"/>
  <c r="K9" i="12"/>
  <c r="G8" i="12"/>
  <c r="L7" i="12"/>
  <c r="K7" i="12"/>
  <c r="C87" i="2"/>
  <c r="E87" i="2" s="1"/>
  <c r="E86" i="2"/>
  <c r="B86" i="2"/>
  <c r="B87" i="2" s="1"/>
  <c r="C84" i="2"/>
  <c r="E63" i="2"/>
  <c r="B63" i="2"/>
  <c r="D63" i="2" s="1"/>
  <c r="E57" i="2"/>
  <c r="D57" i="2"/>
  <c r="E49" i="2"/>
  <c r="D49" i="2"/>
  <c r="C48" i="2"/>
  <c r="E46" i="2"/>
  <c r="B46" i="2"/>
  <c r="E45" i="2"/>
  <c r="D45" i="2"/>
  <c r="E40" i="2"/>
  <c r="D40" i="2"/>
  <c r="E34" i="2"/>
  <c r="D34" i="2"/>
  <c r="C23" i="1" l="1"/>
  <c r="C44" i="1" s="1"/>
  <c r="B44" i="1"/>
  <c r="B56" i="1"/>
  <c r="B57" i="1" s="1"/>
  <c r="B65" i="1" s="1"/>
  <c r="D74" i="2"/>
  <c r="B78" i="2"/>
  <c r="C78" i="2"/>
  <c r="E74" i="2"/>
  <c r="D76" i="2"/>
  <c r="E73" i="2"/>
  <c r="D67" i="2"/>
  <c r="D70" i="2"/>
  <c r="E60" i="2"/>
  <c r="D38" i="2"/>
  <c r="E36" i="2"/>
  <c r="D32" i="2"/>
  <c r="D29" i="2"/>
  <c r="D27" i="2"/>
  <c r="E30" i="2"/>
  <c r="E22" i="2"/>
  <c r="D24" i="2"/>
  <c r="B48" i="2"/>
  <c r="D48" i="2" s="1"/>
  <c r="E26" i="2"/>
  <c r="E15" i="2"/>
  <c r="D16" i="2"/>
  <c r="C39" i="2"/>
  <c r="E25" i="2"/>
  <c r="D26" i="2"/>
  <c r="D15" i="2"/>
  <c r="D14" i="2"/>
  <c r="D46" i="2"/>
  <c r="E14" i="2"/>
  <c r="D22" i="2"/>
  <c r="B17" i="2"/>
  <c r="C17" i="2"/>
  <c r="E17" i="2" s="1"/>
  <c r="D23" i="2"/>
  <c r="D12" i="2"/>
  <c r="E12" i="2"/>
  <c r="B39" i="2"/>
  <c r="C62" i="2"/>
  <c r="G7" i="9"/>
  <c r="G6" i="9"/>
  <c r="G10" i="4"/>
  <c r="B11" i="4"/>
  <c r="G11" i="4" s="1"/>
  <c r="B15" i="12"/>
  <c r="H51" i="12"/>
  <c r="H65" i="12" s="1"/>
  <c r="L33" i="12"/>
  <c r="L11" i="12"/>
  <c r="K44" i="12"/>
  <c r="L44" i="12" s="1"/>
  <c r="B64" i="12"/>
  <c r="L59" i="12"/>
  <c r="F51" i="12"/>
  <c r="F65" i="12" s="1"/>
  <c r="G13" i="12"/>
  <c r="D60" i="12"/>
  <c r="D64" i="12" s="1"/>
  <c r="E60" i="12"/>
  <c r="E64" i="12" s="1"/>
  <c r="E65" i="12" s="1"/>
  <c r="L63" i="12"/>
  <c r="K37" i="12"/>
  <c r="L37" i="12" s="1"/>
  <c r="F64" i="12"/>
  <c r="G64" i="12"/>
  <c r="K64" i="12" s="1"/>
  <c r="K60" i="12"/>
  <c r="L31" i="12"/>
  <c r="L36" i="12"/>
  <c r="K47" i="12"/>
  <c r="L47" i="12" s="1"/>
  <c r="B50" i="12"/>
  <c r="D13" i="12"/>
  <c r="D15" i="12" s="1"/>
  <c r="D16" i="12" s="1"/>
  <c r="D51" i="12" s="1"/>
  <c r="D65" i="12" s="1"/>
  <c r="K29" i="12"/>
  <c r="L29" i="12" s="1"/>
  <c r="J37" i="12"/>
  <c r="J50" i="12" s="1"/>
  <c r="J51" i="12" s="1"/>
  <c r="J65" i="12" s="1"/>
  <c r="G11" i="12"/>
  <c r="K11" i="12" s="1"/>
  <c r="K8" i="12"/>
  <c r="L8" i="12" s="1"/>
  <c r="L19" i="12"/>
  <c r="L55" i="12"/>
  <c r="C48" i="12"/>
  <c r="C50" i="12" s="1"/>
  <c r="C51" i="12" s="1"/>
  <c r="C65" i="12" s="1"/>
  <c r="F63" i="12"/>
  <c r="I44" i="12"/>
  <c r="I50" i="12" s="1"/>
  <c r="K26" i="12"/>
  <c r="L26" i="12" s="1"/>
  <c r="B44" i="2"/>
  <c r="D87" i="2"/>
  <c r="B56" i="2"/>
  <c r="D86" i="2"/>
  <c r="C88" i="2"/>
  <c r="E88" i="2" s="1"/>
  <c r="E84" i="2"/>
  <c r="B62" i="2"/>
  <c r="C44" i="2"/>
  <c r="C56" i="2"/>
  <c r="D78" i="2" l="1"/>
  <c r="C79" i="2"/>
  <c r="E78" i="2"/>
  <c r="E48" i="2"/>
  <c r="D39" i="2"/>
  <c r="D17" i="2"/>
  <c r="C19" i="2"/>
  <c r="C20" i="2" s="1"/>
  <c r="B19" i="2"/>
  <c r="D19" i="2" s="1"/>
  <c r="D44" i="2"/>
  <c r="C64" i="2"/>
  <c r="E19" i="2"/>
  <c r="B20" i="2"/>
  <c r="D62" i="2"/>
  <c r="E56" i="2"/>
  <c r="E39" i="2"/>
  <c r="I51" i="12"/>
  <c r="I65" i="12" s="1"/>
  <c r="K50" i="12"/>
  <c r="G15" i="12"/>
  <c r="K13" i="12"/>
  <c r="L13" i="12" s="1"/>
  <c r="L48" i="12"/>
  <c r="L64" i="12"/>
  <c r="B16" i="12"/>
  <c r="L60" i="12"/>
  <c r="L50" i="12"/>
  <c r="B84" i="2"/>
  <c r="E44" i="2"/>
  <c r="D56" i="2"/>
  <c r="E62" i="2"/>
  <c r="D64" i="2" l="1"/>
  <c r="D20" i="2"/>
  <c r="E20" i="2"/>
  <c r="B51" i="12"/>
  <c r="G16" i="12"/>
  <c r="K15" i="12"/>
  <c r="L15" i="12" s="1"/>
  <c r="E64" i="2"/>
  <c r="B88" i="2"/>
  <c r="D88" i="2" s="1"/>
  <c r="D84" i="2"/>
  <c r="C65" i="2"/>
  <c r="B65" i="12" l="1"/>
  <c r="K16" i="12"/>
  <c r="L16" i="12" s="1"/>
  <c r="G51" i="12"/>
  <c r="C89" i="2"/>
  <c r="B65" i="2"/>
  <c r="E65" i="2" l="1"/>
  <c r="B79" i="2"/>
  <c r="K51" i="12"/>
  <c r="L51" i="12" s="1"/>
  <c r="G65" i="12"/>
  <c r="K65" i="12" s="1"/>
  <c r="L65" i="12"/>
  <c r="D65" i="2"/>
  <c r="H70" i="2" s="1"/>
  <c r="B89" i="2"/>
  <c r="D89" i="2" s="1"/>
  <c r="D79" i="2" l="1"/>
  <c r="E79" i="2"/>
  <c r="E89" i="2"/>
  <c r="H63" i="2" l="1"/>
  <c r="E11" i="2"/>
  <c r="D11" i="2"/>
  <c r="P23" i="6"/>
  <c r="P19" i="6"/>
  <c r="H44" i="2" l="1"/>
  <c r="G35" i="2"/>
  <c r="G25" i="2"/>
  <c r="G26" i="2"/>
  <c r="H55" i="2"/>
  <c r="H48" i="2"/>
  <c r="H62" i="2"/>
  <c r="G27" i="2" l="1"/>
  <c r="V11" i="6"/>
  <c r="O15" i="6"/>
  <c r="O14" i="6"/>
  <c r="O13" i="6"/>
  <c r="O12" i="6"/>
  <c r="I54" i="6" l="1"/>
  <c r="G34" i="2" l="1"/>
  <c r="I55" i="6"/>
  <c r="G36" i="2" l="1"/>
  <c r="H36" i="2" s="1"/>
  <c r="H65" i="2" s="1"/>
  <c r="H67" i="2" s="1"/>
  <c r="N23" i="6"/>
  <c r="K39" i="2" l="1"/>
  <c r="H20" i="2"/>
  <c r="O19" i="6"/>
  <c r="H66" i="2" l="1"/>
  <c r="H68" i="2" s="1"/>
  <c r="N15" i="6" l="1"/>
  <c r="N14" i="6"/>
  <c r="N13" i="6"/>
  <c r="N12" i="6"/>
  <c r="M23" i="5" l="1"/>
  <c r="M20" i="5"/>
  <c r="M16" i="5"/>
  <c r="M11" i="5"/>
  <c r="L25" i="5"/>
  <c r="M25" i="5" l="1"/>
  <c r="M23" i="6" l="1"/>
  <c r="Z18" i="6"/>
  <c r="M15" i="6"/>
  <c r="L15" i="6"/>
  <c r="K15" i="6"/>
  <c r="J15" i="6"/>
  <c r="I15" i="6"/>
  <c r="H15" i="6"/>
  <c r="G15" i="6"/>
  <c r="F15" i="6"/>
  <c r="E15" i="6"/>
  <c r="M14" i="6"/>
  <c r="M19" i="6" s="1"/>
  <c r="L14" i="6"/>
  <c r="K14" i="6"/>
  <c r="J14" i="6"/>
  <c r="I14" i="6"/>
  <c r="H14" i="6"/>
  <c r="G14" i="6"/>
  <c r="F14" i="6"/>
  <c r="E14" i="6"/>
  <c r="E19" i="6" s="1"/>
  <c r="M13" i="6"/>
  <c r="L13" i="6"/>
  <c r="K13" i="6"/>
  <c r="J13" i="6"/>
  <c r="I13" i="6"/>
  <c r="H13" i="6"/>
  <c r="G13" i="6"/>
  <c r="F13" i="6"/>
  <c r="E13" i="6"/>
  <c r="M12" i="6"/>
  <c r="L12" i="6"/>
  <c r="K12" i="6"/>
  <c r="J12" i="6"/>
  <c r="I12" i="6"/>
  <c r="H12" i="6"/>
  <c r="G12" i="6"/>
  <c r="F12" i="6"/>
  <c r="E12" i="6"/>
  <c r="E11" i="6"/>
  <c r="Q11" i="6" s="1"/>
  <c r="Q12" i="6" l="1"/>
  <c r="Q13" i="6"/>
  <c r="Q15" i="6"/>
  <c r="Q14" i="6"/>
  <c r="K19" i="6"/>
  <c r="J19" i="6"/>
  <c r="H19" i="6"/>
  <c r="G19" i="6"/>
  <c r="I19" i="6"/>
  <c r="L19" i="6"/>
  <c r="N19" i="6"/>
  <c r="E17" i="6"/>
  <c r="F11" i="6" s="1"/>
  <c r="F17" i="6" s="1"/>
  <c r="G11" i="6" s="1"/>
  <c r="G17" i="6" s="1"/>
  <c r="H11" i="6" s="1"/>
  <c r="H17" i="6" s="1"/>
  <c r="I11" i="6" s="1"/>
  <c r="I17" i="6" s="1"/>
  <c r="J11" i="6" s="1"/>
  <c r="J17" i="6" s="1"/>
  <c r="K11" i="6" s="1"/>
  <c r="K17" i="6" s="1"/>
  <c r="L11" i="6" s="1"/>
  <c r="L17" i="6" s="1"/>
  <c r="M11" i="6" s="1"/>
  <c r="M17" i="6" s="1"/>
  <c r="F19" i="6"/>
  <c r="Q17" i="6" l="1"/>
  <c r="M20" i="6"/>
  <c r="N11" i="6"/>
  <c r="N17" i="6" s="1"/>
  <c r="K20" i="6"/>
  <c r="J20" i="6"/>
  <c r="G20" i="6"/>
  <c r="E20" i="6"/>
  <c r="H20" i="6"/>
  <c r="I20" i="6"/>
  <c r="F20" i="6"/>
  <c r="L20" i="6"/>
  <c r="F25" i="5"/>
  <c r="N20" i="6" l="1"/>
  <c r="O11" i="6"/>
  <c r="O17" i="6" s="1"/>
  <c r="O20" i="6" l="1"/>
  <c r="P11" i="6"/>
  <c r="P17" i="6" s="1"/>
  <c r="P20" i="6" s="1"/>
</calcChain>
</file>

<file path=xl/sharedStrings.xml><?xml version="1.0" encoding="utf-8"?>
<sst xmlns="http://schemas.openxmlformats.org/spreadsheetml/2006/main" count="350" uniqueCount="251">
  <si>
    <t>Total</t>
  </si>
  <si>
    <t>ASSETS</t>
  </si>
  <si>
    <t xml:space="preserve">   Current Assets</t>
  </si>
  <si>
    <t xml:space="preserve">      Bank Accounts</t>
  </si>
  <si>
    <t xml:space="preserve">         10010 Bank of America</t>
  </si>
  <si>
    <t xml:space="preserve">         10020 Vanguard Operating Account</t>
  </si>
  <si>
    <t xml:space="preserve">         10030 Vanguard Xfer Operating Account</t>
  </si>
  <si>
    <t xml:space="preserve">         10040 Northfield Checking</t>
  </si>
  <si>
    <t xml:space="preserve">         10050 Northfield Fund Donation Checking</t>
  </si>
  <si>
    <t xml:space="preserve">      Total Bank Accounts</t>
  </si>
  <si>
    <t xml:space="preserve">      Accounts Receivable</t>
  </si>
  <si>
    <t xml:space="preserve">         11000 Accounts Receivable</t>
  </si>
  <si>
    <t xml:space="preserve">      Total Accounts Receivable</t>
  </si>
  <si>
    <t xml:space="preserve">      Other Current Assets</t>
  </si>
  <si>
    <t xml:space="preserve">         12000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</si>
  <si>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</si>
  <si>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</si>
  <si>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</si>
  <si>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Computers &amp; Furniture</t>
  </si>
  <si>
    <t xml:space="preserve">         Accumulated Deprecition - Compu</t>
  </si>
  <si>
    <t xml:space="preserve">      Total Computers &amp; Furniture</t>
  </si>
  <si>
    <t xml:space="preserve">   Total Fixed Assets</t>
  </si>
  <si>
    <t xml:space="preserve">   Other Assets</t>
  </si>
  <si>
    <t xml:space="preserve">      1400 Investment Portfolio</t>
  </si>
  <si>
    <t xml:space="preserve">         1402 Vanguard JAGPO and JAFSK</t>
  </si>
  <si>
    <t xml:space="preserve">         1403 Custodial Investment Accounts</t>
  </si>
  <si>
    <t xml:space="preserve">         1404 Custodial Gift Annuities</t>
  </si>
  <si>
    <t xml:space="preserve">      Total 1400 Investment Portfolio</t>
  </si>
  <si>
    <t xml:space="preserve">      15000 Furniture and Equipment</t>
  </si>
  <si>
    <t xml:space="preserve">         Accumulated Depreciation</t>
  </si>
  <si>
    <t xml:space="preserve">      Total 15000 Furniture and Equipment</t>
  </si>
  <si>
    <t xml:space="preserve">      Cash Value of Life Insurance</t>
  </si>
  <si>
    <t xml:space="preserve">      Gift Annuity</t>
  </si>
  <si>
    <t xml:space="preserve">      Prepaid Insurance</t>
  </si>
  <si>
    <t xml:space="preserve">      Receivable from Portfolio</t>
  </si>
  <si>
    <t xml:space="preserve">      Suspense Account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</si>
  <si>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</si>
  <si>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</si>
  <si>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</si>
  <si>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</si>
  <si>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</si>
  <si>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</si>
  <si>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20000 Accounts Payable</t>
  </si>
  <si>
    <t xml:space="preserve">         Total Accounts Payable</t>
  </si>
  <si>
    <t xml:space="preserve">         Other Current Liabilities</t>
  </si>
  <si>
    <t xml:space="preserve">            21000 Paycheck Protection Loan Payable</t>
  </si>
  <si>
    <t xml:space="preserve">            22000 Accrued Expenses</t>
  </si>
  <si>
    <t xml:space="preserve">            Custodial Accounts Liability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</si>
  <si>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</si>
  <si>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</si>
  <si>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</si>
  <si>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</si>
  <si>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31200 Donor Advised Funds</t>
  </si>
  <si>
    <t xml:space="preserve">      31300 Perm. Restricted Net Assets</t>
  </si>
  <si>
    <t xml:space="preserve">      31500 Temp. Restricted Net Assets</t>
  </si>
  <si>
    <t xml:space="preserve">      32000 Unrestricted Net Assets</t>
  </si>
  <si>
    <t xml:space="preserve">      Net Revenue</t>
  </si>
  <si>
    <t xml:space="preserve">   Total Equity</t>
  </si>
  <si>
    <t>TOTAL LIABILITIES AND EQUITY</t>
  </si>
  <si>
    <t>Jewish Community Foundation of Greater Mercer</t>
  </si>
  <si>
    <t>Statement of Financial Position</t>
  </si>
  <si>
    <t>For Management use Only</t>
  </si>
  <si>
    <t>Net Revenue</t>
  </si>
  <si>
    <t>Net Other Revenue</t>
  </si>
  <si>
    <t>Total Other Expenditures</t>
  </si>
  <si>
    <t xml:space="preserve">   60007 Allocations</t>
  </si>
  <si>
    <t>Other Expenditures</t>
  </si>
  <si>
    <t>Total Other Revenue</t>
  </si>
  <si>
    <t xml:space="preserve">   Total 45000 Investment Gain or Loss, Net</t>
  </si>
  <si>
    <t xml:space="preserve">      60006 Investment Management Fees</t>
  </si>
  <si>
    <t xml:space="preserve">      45400 Unrealized Gains and Losses</t>
  </si>
  <si>
    <t xml:space="preserve">      45100 Investment Income</t>
  </si>
  <si>
    <t xml:space="preserve">   45000 Investment Gain or Loss, Net</t>
  </si>
  <si>
    <t xml:space="preserve">   41000 DAF Contributions</t>
  </si>
  <si>
    <t>Other Revenue</t>
  </si>
  <si>
    <t>Net Operating Revenue</t>
  </si>
  <si>
    <t>Total Expenditures</t>
  </si>
  <si>
    <t xml:space="preserve">   Total 68310 Conference, Convention, Meeting</t>
  </si>
  <si>
    <t xml:space="preserve">      68340 Conferences and Conventions</t>
  </si>
  <si>
    <t xml:space="preserve">      68330 Board Meeting Expenses</t>
  </si>
  <si>
    <t xml:space="preserve">      68320 JFCGM Programs</t>
  </si>
  <si>
    <t xml:space="preserve">   68310 Conference, Convention, Meeting</t>
  </si>
  <si>
    <t xml:space="preserve">   Total 65000 Office Expenses</t>
  </si>
  <si>
    <t xml:space="preserve">      65060 Tel/Communication/Internet</t>
  </si>
  <si>
    <t xml:space="preserve">      65050 Membership Dues</t>
  </si>
  <si>
    <t xml:space="preserve">      65040 Supplies</t>
  </si>
  <si>
    <t xml:space="preserve">      65030 Printing and Copying</t>
  </si>
  <si>
    <t xml:space="preserve">      65020 Postage, Mailing Service</t>
  </si>
  <si>
    <t xml:space="preserve">      65010 Licenses</t>
  </si>
  <si>
    <t xml:space="preserve">   65000 Office Expenses</t>
  </si>
  <si>
    <t xml:space="preserve">   Total 63000 Insurance</t>
  </si>
  <si>
    <t xml:space="preserve">      63200 Liability Insurance</t>
  </si>
  <si>
    <t xml:space="preserve">      63100 Insurance - Donor</t>
  </si>
  <si>
    <t xml:space="preserve">   63000 Insurance</t>
  </si>
  <si>
    <t xml:space="preserve">   Total 62100 Professional Fees</t>
  </si>
  <si>
    <t xml:space="preserve">      62140 Legal Fees</t>
  </si>
  <si>
    <t xml:space="preserve">      62120 Auditor</t>
  </si>
  <si>
    <t xml:space="preserve">      62110 Accounting Fees</t>
  </si>
  <si>
    <t xml:space="preserve">   62100 Professional Fees</t>
  </si>
  <si>
    <t xml:space="preserve">   Total 60900 Payroll and Consulting Fees</t>
  </si>
  <si>
    <t xml:space="preserve">      60904 Payroll Tax Expense</t>
  </si>
  <si>
    <t xml:space="preserve">      60903 Payroll Processing Fees</t>
  </si>
  <si>
    <t xml:space="preserve">      60902 Payroll</t>
  </si>
  <si>
    <t xml:space="preserve">      60901 Consultants</t>
  </si>
  <si>
    <t xml:space="preserve">   60900 Payroll and Consulting Fees</t>
  </si>
  <si>
    <t xml:space="preserve">   60040 Miscellaneous</t>
  </si>
  <si>
    <t xml:space="preserve">   60020 Website</t>
  </si>
  <si>
    <t xml:space="preserve">   60010 Travel</t>
  </si>
  <si>
    <t xml:space="preserve">   60008 Advertising/Promotional</t>
  </si>
  <si>
    <t xml:space="preserve">   60003 Promotional Material</t>
  </si>
  <si>
    <t xml:space="preserve">   60002 Rent</t>
  </si>
  <si>
    <t xml:space="preserve">   60001 Bank Fees</t>
  </si>
  <si>
    <t>Expenditures</t>
  </si>
  <si>
    <t>Gross Profit</t>
  </si>
  <si>
    <t>Total Revenue</t>
  </si>
  <si>
    <t xml:space="preserve">   45030 Interest</t>
  </si>
  <si>
    <t xml:space="preserve">   Total 43400 Support and Revenue</t>
  </si>
  <si>
    <t xml:space="preserve">         43441 Fee Income from Portfolio</t>
  </si>
  <si>
    <t xml:space="preserve">      43440 Fee Income</t>
  </si>
  <si>
    <t xml:space="preserve">      43410 Contributions</t>
  </si>
  <si>
    <t xml:space="preserve">   43400 Support and Revenue</t>
  </si>
  <si>
    <t>Revenue</t>
  </si>
  <si>
    <t>% of Budget</t>
  </si>
  <si>
    <t>over Budget</t>
  </si>
  <si>
    <t>Budget</t>
  </si>
  <si>
    <t>Actual</t>
  </si>
  <si>
    <t>TOTAL</t>
  </si>
  <si>
    <t>91 and over</t>
  </si>
  <si>
    <t>61 - 90</t>
  </si>
  <si>
    <t>31 - 60</t>
  </si>
  <si>
    <t>1 - 30</t>
  </si>
  <si>
    <t>Current</t>
  </si>
  <si>
    <t>A/P Aging Summary</t>
  </si>
  <si>
    <t xml:space="preserve">Jewish Community Foundation of Greater Mercer </t>
  </si>
  <si>
    <t xml:space="preserve"> Treasurer's Report</t>
  </si>
  <si>
    <t>For Internal Use Only</t>
  </si>
  <si>
    <t>Custodial Funds</t>
  </si>
  <si>
    <t>Total Custodial Funds</t>
  </si>
  <si>
    <t>Total Permanently Restricted Funds</t>
  </si>
  <si>
    <t>Unrestricted Funds of the Foundation in the Investment Portfolio</t>
  </si>
  <si>
    <t>Total Assets in Investment Portfolio</t>
  </si>
  <si>
    <t>Sachs</t>
  </si>
  <si>
    <t>Alperin</t>
  </si>
  <si>
    <t>Sucharow</t>
  </si>
  <si>
    <t>Misc</t>
  </si>
  <si>
    <t>Fund Activity Since July, 2012</t>
  </si>
  <si>
    <t>(Not Including Unrestricted Funds of the Foundation)</t>
  </si>
  <si>
    <t>Fiscal Year 2013</t>
  </si>
  <si>
    <t>Fiscal Year 2014</t>
  </si>
  <si>
    <t>Fiscal Year 2015</t>
  </si>
  <si>
    <t>Fiscal Year 2016</t>
  </si>
  <si>
    <t>Fiscal Year 2017</t>
  </si>
  <si>
    <t>Fiscal Year 2018</t>
  </si>
  <si>
    <t>Fiscal Year 2019</t>
  </si>
  <si>
    <t>Fiscal Year 2020</t>
  </si>
  <si>
    <t>Fiscal Year 2021</t>
  </si>
  <si>
    <r>
      <t>Charitable Assets</t>
    </r>
    <r>
      <rPr>
        <sz val="11"/>
        <color indexed="8"/>
        <rFont val="Calibri"/>
        <family val="2"/>
        <scheme val="minor"/>
      </rPr>
      <t xml:space="preserve">  (in millions of dollars)</t>
    </r>
  </si>
  <si>
    <t>Beginning of Period</t>
  </si>
  <si>
    <t>Donations</t>
  </si>
  <si>
    <t>Grants and Other Distributions to Charity</t>
  </si>
  <si>
    <t>w custodial</t>
  </si>
  <si>
    <t>Investment Income, Gains and Losses*</t>
  </si>
  <si>
    <t>Fees</t>
  </si>
  <si>
    <t>End of Period**</t>
  </si>
  <si>
    <t xml:space="preserve">      45200 Dividends</t>
  </si>
  <si>
    <t>*  Including both realized and unrealized gains and losses.</t>
  </si>
  <si>
    <t>Number of Funds, End of Period</t>
  </si>
  <si>
    <t>Type</t>
  </si>
  <si>
    <t>(Multiple Items)</t>
  </si>
  <si>
    <t>FY</t>
  </si>
  <si>
    <t>Values</t>
  </si>
  <si>
    <t>Grand Total</t>
  </si>
  <si>
    <t>Sum of Beginning Balance</t>
  </si>
  <si>
    <t>Sum of Receipts</t>
  </si>
  <si>
    <t>Sum of Disbursements</t>
  </si>
  <si>
    <t>Sum of Income, Gains &amp; Losses</t>
  </si>
  <si>
    <t>Sum of Fees</t>
  </si>
  <si>
    <t>Sum of Ending Balance</t>
  </si>
  <si>
    <t>Fiscal Year 2022</t>
  </si>
  <si>
    <t>Donor-Advised Fund Assets</t>
  </si>
  <si>
    <t xml:space="preserve">      45300 Realized Gains and Losses</t>
  </si>
  <si>
    <t>Variance</t>
  </si>
  <si>
    <t xml:space="preserve">   60000 L&amp;L Event</t>
  </si>
  <si>
    <t>12.31.2021</t>
  </si>
  <si>
    <t>High</t>
  </si>
  <si>
    <t>Fiscal Year 2023</t>
  </si>
  <si>
    <t xml:space="preserve">Budget vs. Actuals: FY 2023 Budget - FY23 P&amp;L </t>
  </si>
  <si>
    <t xml:space="preserve">      Total 43440 Fee Income</t>
  </si>
  <si>
    <t xml:space="preserve">      43450 L&amp;L HGF Grant</t>
  </si>
  <si>
    <t xml:space="preserve">   60000.1 Incentive Grants</t>
  </si>
  <si>
    <t xml:space="preserve">      68311 Training</t>
  </si>
  <si>
    <t xml:space="preserve">   Scholarship Awards</t>
  </si>
  <si>
    <t>Life and Legacy Grinspoon</t>
  </si>
  <si>
    <t>Permanently restricted</t>
  </si>
  <si>
    <t>Temporarily restricted</t>
  </si>
  <si>
    <t>Unrestricted DAF</t>
  </si>
  <si>
    <t>Unrestricted Funds</t>
  </si>
  <si>
    <t>Fundraising</t>
  </si>
  <si>
    <t>Mgmt &amp; Gen.</t>
  </si>
  <si>
    <t>Prog. Svs. Exp.</t>
  </si>
  <si>
    <t>Netcentric IT Management, Inc.</t>
  </si>
  <si>
    <t>less expense than budget</t>
  </si>
  <si>
    <t>greater expense than budget</t>
  </si>
  <si>
    <t>A/R Aging Summary</t>
  </si>
  <si>
    <t>Non-profit Accounting Solutions, LLC</t>
  </si>
  <si>
    <t>actual</t>
  </si>
  <si>
    <t>budget</t>
  </si>
  <si>
    <t>Operating</t>
  </si>
  <si>
    <t>Grinspoon Foundation</t>
  </si>
  <si>
    <t xml:space="preserve">   60009 Third Party Processing Fee</t>
  </si>
  <si>
    <t>Highlights</t>
  </si>
  <si>
    <t>Assets at the level of 06.30.2021</t>
  </si>
  <si>
    <t>Today</t>
  </si>
  <si>
    <t>$17,000 accrual on the books</t>
  </si>
  <si>
    <t xml:space="preserve">   60000.2 JFedShaw Grinspoon Grant</t>
  </si>
  <si>
    <t xml:space="preserve">         10060 Northfield Divestment Checking</t>
  </si>
  <si>
    <t>Permanently Restricted &amp; Temporarily Restricted Funds</t>
  </si>
  <si>
    <t>Fiscal Year 2024</t>
  </si>
  <si>
    <t>FY 2013 - FY 2024</t>
  </si>
  <si>
    <t>payroll</t>
  </si>
  <si>
    <t>Life and Legacy</t>
  </si>
  <si>
    <t>Custodial</t>
  </si>
  <si>
    <t>Fixed</t>
  </si>
  <si>
    <t>Variable</t>
  </si>
  <si>
    <t>Savings</t>
  </si>
  <si>
    <t xml:space="preserve">   60000 L&amp;L Event (potential fund raiser)</t>
  </si>
  <si>
    <t>Asset Summary as of September 30, 2023</t>
  </si>
  <si>
    <t>Monday, Oct 23, 2023 02:39:49 PM GMT-7 - Accrual Basis</t>
  </si>
  <si>
    <t>more revenue than budget</t>
  </si>
  <si>
    <t>more expense than budget</t>
  </si>
  <si>
    <t>Revenue ahead</t>
  </si>
  <si>
    <t>Expense less than budget</t>
  </si>
  <si>
    <t>July - September, 2023</t>
  </si>
  <si>
    <t>Monday, Oct 23, 2023 02:42:23 PM GMT-7 - Accrual Basis</t>
  </si>
  <si>
    <t>As of September 30, 2023</t>
  </si>
  <si>
    <t>BKC, CPAs</t>
  </si>
  <si>
    <t>Fiduciary Technology Partners, LLC</t>
  </si>
  <si>
    <t>The Jewish Center (v)</t>
  </si>
  <si>
    <t>Monday, Oct 23, 2023 02:44:27 PM GMT-7</t>
  </si>
  <si>
    <t>Monday, Oct 23, 2023 02:44:00 PM GMT-7</t>
  </si>
  <si>
    <t>ERC application - 22,000</t>
  </si>
  <si>
    <t xml:space="preserve">   60004 JCC/Ewing Property</t>
  </si>
  <si>
    <t>Saturday, Nov 25, 2023 02:47:20 PM GMT-8 - Accrual Basis</t>
  </si>
  <si>
    <t>7/1/2023 - 10/31/2023</t>
  </si>
  <si>
    <t>As of Oct 31, 2023</t>
  </si>
  <si>
    <t>As of Oct 31, 2022</t>
  </si>
  <si>
    <t>Saturday, Nov 25, 2023 02:45:02 PM GMT-8 - Accrual Basis</t>
  </si>
  <si>
    <t>As of October 31, 2023</t>
  </si>
  <si>
    <t>10.31.2023</t>
  </si>
  <si>
    <t>11/27/2023</t>
  </si>
  <si>
    <t>EE rentention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</si>
</sst>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* #,##0.00\ _€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_(* #,##0.000_);_(* \(#,##0.000\);_(* &quot;-&quot;??_);_(@_)"/>
  </numFmts>
  <fonts count="2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333333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12" fillId="0" borderId="0" xfId="4" applyFont="1"/>
    <xf numFmtId="167" fontId="1" fillId="0" borderId="0" xfId="5" applyNumberFormat="1" applyFont="1" applyAlignment="1">
      <alignment vertical="center"/>
    </xf>
    <xf numFmtId="167" fontId="1" fillId="0" borderId="0" xfId="5" applyNumberFormat="1" applyFont="1"/>
    <xf numFmtId="3" fontId="12" fillId="0" borderId="0" xfId="4" applyNumberFormat="1" applyFont="1" applyAlignment="1">
      <alignment wrapText="1"/>
    </xf>
    <xf numFmtId="3" fontId="12" fillId="0" borderId="0" xfId="4" quotePrefix="1" applyNumberFormat="1" applyFont="1" applyAlignment="1">
      <alignment wrapText="1"/>
    </xf>
    <xf numFmtId="0" fontId="12" fillId="0" borderId="0" xfId="4" applyFont="1" applyAlignment="1">
      <alignment horizontal="left"/>
    </xf>
    <xf numFmtId="168" fontId="12" fillId="0" borderId="0" xfId="2" applyNumberFormat="1" applyFont="1" applyBorder="1" applyAlignment="1">
      <alignment vertical="center"/>
    </xf>
    <xf numFmtId="167" fontId="12" fillId="0" borderId="0" xfId="5" applyNumberFormat="1" applyFont="1" applyBorder="1" applyAlignment="1">
      <alignment wrapText="1"/>
    </xf>
    <xf numFmtId="167" fontId="13" fillId="0" borderId="1" xfId="5" applyNumberFormat="1" applyFont="1" applyBorder="1" applyAlignment="1">
      <alignment horizontal="center"/>
    </xf>
    <xf numFmtId="0" fontId="13" fillId="0" borderId="0" xfId="4" applyFont="1"/>
    <xf numFmtId="167" fontId="13" fillId="0" borderId="0" xfId="5" applyNumberFormat="1" applyFont="1"/>
    <xf numFmtId="42" fontId="12" fillId="0" borderId="0" xfId="6" applyNumberFormat="1" applyFont="1" applyBorder="1" applyAlignment="1">
      <alignment vertical="center"/>
    </xf>
    <xf numFmtId="0" fontId="12" fillId="0" borderId="0" xfId="4" applyFont="1" applyAlignment="1">
      <alignment horizontal="left" indent="1"/>
    </xf>
    <xf numFmtId="167" fontId="12" fillId="0" borderId="0" xfId="1" applyNumberFormat="1" applyFont="1" applyBorder="1" applyAlignment="1">
      <alignment vertical="center" wrapText="1"/>
    </xf>
    <xf numFmtId="42" fontId="13" fillId="0" borderId="0" xfId="6" applyNumberFormat="1" applyFont="1" applyBorder="1" applyAlignment="1">
      <alignment vertical="center"/>
    </xf>
    <xf numFmtId="167" fontId="12" fillId="0" borderId="0" xfId="1" applyNumberFormat="1" applyFont="1"/>
    <xf numFmtId="0" fontId="1" fillId="0" borderId="0" xfId="0" applyFont="1"/>
    <xf numFmtId="167" fontId="12" fillId="0" borderId="0" xfId="1" applyNumberFormat="1" applyFont="1" applyAlignment="1">
      <alignment vertical="center"/>
    </xf>
    <xf numFmtId="167" fontId="13" fillId="0" borderId="0" xfId="5" quotePrefix="1" applyNumberFormat="1" applyFont="1"/>
    <xf numFmtId="167" fontId="12" fillId="0" borderId="0" xfId="1" applyNumberFormat="1" applyFont="1" applyBorder="1"/>
    <xf numFmtId="43" fontId="12" fillId="0" borderId="0" xfId="4" applyNumberFormat="1" applyFont="1"/>
    <xf numFmtId="167" fontId="13" fillId="0" borderId="0" xfId="1" applyNumberFormat="1" applyFont="1" applyBorder="1" applyAlignment="1">
      <alignment horizontal="right"/>
    </xf>
    <xf numFmtId="167" fontId="13" fillId="0" borderId="0" xfId="5" applyNumberFormat="1" applyFont="1" applyBorder="1" applyAlignment="1">
      <alignment horizontal="left" wrapText="1" indent="1"/>
    </xf>
    <xf numFmtId="167" fontId="13" fillId="0" borderId="1" xfId="5" applyNumberFormat="1" applyFont="1" applyFill="1" applyBorder="1" applyAlignment="1">
      <alignment horizontal="right"/>
    </xf>
    <xf numFmtId="167" fontId="12" fillId="0" borderId="0" xfId="4" applyNumberFormat="1" applyFont="1"/>
    <xf numFmtId="168" fontId="13" fillId="0" borderId="3" xfId="6" applyNumberFormat="1" applyFont="1" applyBorder="1" applyAlignment="1">
      <alignment horizontal="right"/>
    </xf>
    <xf numFmtId="168" fontId="13" fillId="0" borderId="0" xfId="6" applyNumberFormat="1" applyFont="1" applyBorder="1" applyAlignment="1">
      <alignment horizontal="right"/>
    </xf>
    <xf numFmtId="43" fontId="12" fillId="0" borderId="0" xfId="1" applyFont="1"/>
    <xf numFmtId="44" fontId="12" fillId="0" borderId="0" xfId="4" applyNumberFormat="1" applyFont="1"/>
    <xf numFmtId="43" fontId="12" fillId="0" borderId="0" xfId="1" applyFont="1" applyBorder="1"/>
    <xf numFmtId="0" fontId="15" fillId="0" borderId="0" xfId="4" applyFont="1"/>
    <xf numFmtId="0" fontId="17" fillId="0" borderId="0" xfId="0" applyFont="1" applyAlignment="1">
      <alignment horizontal="center"/>
    </xf>
    <xf numFmtId="0" fontId="9" fillId="0" borderId="0" xfId="0" applyFont="1"/>
    <xf numFmtId="169" fontId="9" fillId="0" borderId="1" xfId="1" applyNumberFormat="1" applyFont="1" applyBorder="1" applyAlignment="1">
      <alignment horizontal="center" wrapText="1"/>
    </xf>
    <xf numFmtId="169" fontId="9" fillId="0" borderId="4" xfId="1" applyNumberFormat="1" applyFont="1" applyBorder="1" applyAlignment="1">
      <alignment horizontal="center" wrapText="1"/>
    </xf>
    <xf numFmtId="0" fontId="15" fillId="0" borderId="5" xfId="4" applyFont="1" applyBorder="1"/>
    <xf numFmtId="0" fontId="18" fillId="0" borderId="0" xfId="0" applyFont="1"/>
    <xf numFmtId="169" fontId="15" fillId="0" borderId="0" xfId="1" applyNumberFormat="1" applyFont="1"/>
    <xf numFmtId="0" fontId="15" fillId="0" borderId="6" xfId="4" applyFont="1" applyBorder="1"/>
    <xf numFmtId="0" fontId="15" fillId="0" borderId="7" xfId="4" applyFont="1" applyBorder="1"/>
    <xf numFmtId="169" fontId="1" fillId="0" borderId="0" xfId="1" applyNumberFormat="1" applyFont="1" applyBorder="1"/>
    <xf numFmtId="169" fontId="1" fillId="0" borderId="0" xfId="1" applyNumberFormat="1" applyFont="1"/>
    <xf numFmtId="169" fontId="15" fillId="0" borderId="6" xfId="1" applyNumberFormat="1" applyFont="1" applyBorder="1"/>
    <xf numFmtId="170" fontId="19" fillId="0" borderId="0" xfId="2" applyNumberFormat="1" applyFont="1" applyBorder="1"/>
    <xf numFmtId="0" fontId="19" fillId="0" borderId="0" xfId="0" applyFont="1"/>
    <xf numFmtId="169" fontId="19" fillId="0" borderId="0" xfId="1" applyNumberFormat="1" applyFont="1" applyBorder="1"/>
    <xf numFmtId="169" fontId="19" fillId="0" borderId="6" xfId="1" applyNumberFormat="1" applyFont="1" applyBorder="1"/>
    <xf numFmtId="169" fontId="19" fillId="0" borderId="1" xfId="1" applyNumberFormat="1" applyFont="1" applyBorder="1"/>
    <xf numFmtId="169" fontId="19" fillId="0" borderId="8" xfId="1" applyNumberFormat="1" applyFont="1" applyBorder="1"/>
    <xf numFmtId="0" fontId="15" fillId="0" borderId="8" xfId="4" applyFont="1" applyBorder="1"/>
    <xf numFmtId="167" fontId="1" fillId="0" borderId="0" xfId="1" applyNumberFormat="1" applyFont="1"/>
    <xf numFmtId="43" fontId="19" fillId="0" borderId="0" xfId="1" applyFont="1" applyBorder="1"/>
    <xf numFmtId="167" fontId="15" fillId="0" borderId="0" xfId="1" applyNumberFormat="1" applyFont="1"/>
    <xf numFmtId="169" fontId="19" fillId="0" borderId="3" xfId="1" applyNumberFormat="1" applyFont="1" applyBorder="1"/>
    <xf numFmtId="169" fontId="19" fillId="0" borderId="10" xfId="1" applyNumberFormat="1" applyFont="1" applyBorder="1"/>
    <xf numFmtId="0" fontId="15" fillId="0" borderId="11" xfId="4" applyFont="1" applyBorder="1"/>
    <xf numFmtId="171" fontId="1" fillId="0" borderId="0" xfId="0" applyNumberFormat="1" applyFont="1"/>
    <xf numFmtId="0" fontId="1" fillId="0" borderId="9" xfId="0" applyFont="1" applyBorder="1"/>
    <xf numFmtId="44" fontId="15" fillId="0" borderId="0" xfId="4" applyNumberFormat="1" applyFont="1"/>
    <xf numFmtId="167" fontId="15" fillId="0" borderId="0" xfId="4" applyNumberFormat="1" applyFont="1"/>
    <xf numFmtId="9" fontId="19" fillId="0" borderId="0" xfId="3" applyFont="1" applyBorder="1"/>
    <xf numFmtId="170" fontId="0" fillId="0" borderId="0" xfId="2" applyNumberFormat="1" applyFont="1" applyFill="1" applyBorder="1"/>
    <xf numFmtId="0" fontId="1" fillId="0" borderId="0" xfId="0" applyFont="1" applyAlignment="1">
      <alignment horizontal="left"/>
    </xf>
    <xf numFmtId="170" fontId="19" fillId="0" borderId="0" xfId="2" applyNumberFormat="1" applyFont="1" applyFill="1" applyBorder="1"/>
    <xf numFmtId="167" fontId="19" fillId="0" borderId="3" xfId="1" applyNumberFormat="1" applyFont="1" applyFill="1" applyBorder="1"/>
    <xf numFmtId="167" fontId="0" fillId="0" borderId="0" xfId="0" applyNumberFormat="1"/>
    <xf numFmtId="167" fontId="20" fillId="0" borderId="0" xfId="0" applyNumberFormat="1" applyFont="1"/>
    <xf numFmtId="167" fontId="20" fillId="3" borderId="0" xfId="0" applyNumberFormat="1" applyFont="1" applyFill="1"/>
    <xf numFmtId="167" fontId="0" fillId="0" borderId="0" xfId="0" pivotButton="1" applyNumberFormat="1"/>
    <xf numFmtId="4" fontId="0" fillId="0" borderId="0" xfId="0" applyNumberFormat="1"/>
    <xf numFmtId="165" fontId="0" fillId="0" borderId="0" xfId="0" applyNumberFormat="1"/>
    <xf numFmtId="44" fontId="0" fillId="0" borderId="0" xfId="0" applyNumberFormat="1"/>
    <xf numFmtId="164" fontId="0" fillId="0" borderId="0" xfId="0" applyNumberFormat="1"/>
    <xf numFmtId="0" fontId="12" fillId="0" borderId="0" xfId="4" quotePrefix="1" applyFont="1"/>
    <xf numFmtId="43" fontId="0" fillId="0" borderId="0" xfId="1" applyFont="1"/>
    <xf numFmtId="43" fontId="0" fillId="0" borderId="0" xfId="0" applyNumberFormat="1"/>
    <xf numFmtId="167" fontId="12" fillId="0" borderId="1" xfId="1" applyNumberFormat="1" applyFont="1" applyBorder="1"/>
    <xf numFmtId="0" fontId="5" fillId="0" borderId="1" xfId="0" applyFont="1" applyBorder="1" applyAlignment="1">
      <alignment horizontal="center" wrapText="1"/>
    </xf>
    <xf numFmtId="44" fontId="0" fillId="0" borderId="12" xfId="0" applyNumberFormat="1" applyBorder="1"/>
    <xf numFmtId="0" fontId="22" fillId="0" borderId="0" xfId="0" applyFont="1"/>
    <xf numFmtId="169" fontId="19" fillId="0" borderId="9" xfId="1" applyNumberFormat="1" applyFont="1" applyBorder="1"/>
    <xf numFmtId="10" fontId="3" fillId="0" borderId="0" xfId="0" applyNumberFormat="1" applyFont="1" applyAlignment="1">
      <alignment horizontal="right" wrapText="1"/>
    </xf>
    <xf numFmtId="10" fontId="4" fillId="0" borderId="2" xfId="0" applyNumberFormat="1" applyFont="1" applyBorder="1" applyAlignment="1">
      <alignment horizontal="right" wrapText="1"/>
    </xf>
    <xf numFmtId="0" fontId="23" fillId="0" borderId="0" xfId="0" applyFont="1" applyAlignment="1">
      <alignment horizontal="left" vertical="center" wrapText="1" indent="2"/>
    </xf>
    <xf numFmtId="43" fontId="3" fillId="0" borderId="0" xfId="1" applyFont="1" applyAlignment="1">
      <alignment wrapText="1"/>
    </xf>
    <xf numFmtId="43" fontId="3" fillId="0" borderId="0" xfId="1" applyFont="1" applyAlignment="1">
      <alignment horizontal="right" wrapText="1"/>
    </xf>
    <xf numFmtId="43" fontId="4" fillId="0" borderId="2" xfId="1" applyFont="1" applyBorder="1" applyAlignment="1">
      <alignment horizontal="right" wrapText="1"/>
    </xf>
    <xf numFmtId="43" fontId="4" fillId="0" borderId="13" xfId="1" applyFont="1" applyBorder="1" applyAlignment="1">
      <alignment horizontal="right" wrapText="1"/>
    </xf>
    <xf numFmtId="167" fontId="23" fillId="0" borderId="0" xfId="1" applyNumberFormat="1" applyFont="1" applyAlignment="1">
      <alignment horizontal="left" vertical="center" wrapText="1"/>
    </xf>
    <xf numFmtId="43" fontId="25" fillId="0" borderId="1" xfId="1" applyFont="1" applyBorder="1" applyAlignment="1">
      <alignment horizontal="center" wrapText="1"/>
    </xf>
    <xf numFmtId="0" fontId="26" fillId="0" borderId="0" xfId="0" applyFont="1" applyAlignment="1">
      <alignment horizontal="left" wrapText="1"/>
    </xf>
    <xf numFmtId="43" fontId="27" fillId="0" borderId="0" xfId="1" applyFont="1" applyAlignment="1">
      <alignment wrapText="1"/>
    </xf>
    <xf numFmtId="43" fontId="27" fillId="0" borderId="0" xfId="1" applyFont="1" applyAlignment="1">
      <alignment horizontal="right" wrapText="1"/>
    </xf>
    <xf numFmtId="43" fontId="26" fillId="0" borderId="2" xfId="1" applyFont="1" applyBorder="1" applyAlignment="1">
      <alignment horizontal="right" wrapText="1"/>
    </xf>
    <xf numFmtId="166" fontId="14" fillId="0" borderId="0" xfId="4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6" fontId="14" fillId="0" borderId="0" xfId="4" applyNumberFormat="1" applyFont="1" applyAlignment="1">
      <alignment horizontal="center" vertical="center"/>
    </xf>
    <xf numFmtId="166" fontId="11" fillId="0" borderId="0" xfId="4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25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4" fillId="0" borderId="0" xfId="0" applyFont="1" applyFill="1"/>
    <xf numFmtId="0" fontId="0" fillId="0" borderId="0" xfId="0" applyFill="1" applyAlignment="1">
      <alignment wrapText="1"/>
    </xf>
    <xf numFmtId="0" fontId="4" fillId="0" borderId="0" xfId="0" applyFont="1" applyFill="1" applyAlignment="1">
      <alignment horizontal="left" wrapText="1"/>
    </xf>
  </cellXfs>
  <cellStyles count="7">
    <cellStyle name="Comma" xfId="1" builtinId="3"/>
    <cellStyle name="Comma 2" xfId="5" xr:uid="{702DA4A4-DA0E-4F9E-946A-97B52F4BCB45}"/>
    <cellStyle name="Currency" xfId="2" builtinId="4"/>
    <cellStyle name="Currency 2" xfId="6" xr:uid="{CA93C5F4-DD85-4B27-B75E-B4A65C584647}"/>
    <cellStyle name="Normal" xfId="0" builtinId="0"/>
    <cellStyle name="Normal 2" xfId="4" xr:uid="{DFDCD53F-5DAE-4312-926B-13E9B5CB5E9D}"/>
    <cellStyle name="Percent" xfId="3" builtinId="5"/>
  </cellStyles>
  <dxfs count="12">
    <dxf>
      <fill>
        <patternFill patternType="solid">
          <bgColor theme="9" tint="0.59999389629810485"/>
        </patternFill>
      </fill>
    </dxf>
    <dxf>
      <font>
        <sz val="9"/>
      </font>
    </dxf>
    <dxf>
      <font>
        <sz val="9"/>
      </font>
    </dxf>
    <dxf>
      <numFmt numFmtId="167" formatCode="_(* #,##0_);_(* \(#,##0\);_(* &quot;-&quot;??_);_(@_)"/>
    </dxf>
    <dxf>
      <numFmt numFmtId="35" formatCode="_(* #,##0.00_);_(* \(#,##0.0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JLK\Jewish%20Community%20Foundation\Funds\Quarters%20IMPORTANT\2020%20Quarters\Fiscal%202020%20Year%20End\THIS%20ONE%20Custody%20Summary%20of%20Activities%20Report%2007.01.19_06.30.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lstein/Jewish%20Community%20Foundation/Admin/Budget/June%202020%20Board%20Package/6-30-20%20Report%20v1%20PLUS%20budget%20Report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Activities Report"/>
      <sheetName val="Report Details"/>
    </sheetNames>
    <sheetDataSet>
      <sheetData sheetId="0" refreshError="1">
        <row r="46">
          <cell r="E46">
            <v>969842.60999999987</v>
          </cell>
          <cell r="F46">
            <v>-1350442.5</v>
          </cell>
          <cell r="H46">
            <v>-129890.86</v>
          </cell>
        </row>
        <row r="47">
          <cell r="G47">
            <v>45046.31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Cover Page"/>
      <sheetName val="Summary Table"/>
      <sheetName val="Funds and Assets Apr 2020"/>
      <sheetName val="FY20 P&amp;L (2)"/>
      <sheetName val="Sheet1"/>
      <sheetName val="SOA Jul19_Apr20"/>
      <sheetName val="Prior&gt;&gt;&gt;&gt;"/>
      <sheetName val="FY20 P&amp;L"/>
      <sheetName val="Q1 &amp; Q2 FY 20"/>
      <sheetName val="FY20 P&amp;L tables"/>
      <sheetName val="FY19 P&amp;L"/>
      <sheetName val="QB P&amp;L"/>
      <sheetName val="JCFGM P&amp;L July 2018 - June 2019"/>
      <sheetName val="FY19 P&amp;L Tables"/>
      <sheetName val="FY19 P&amp;L Mapping"/>
      <sheetName val="SOA FY 2019"/>
      <sheetName val="SOA Jul-Dec 2019"/>
      <sheetName val="Fund Type"/>
      <sheetName val="JE's FY 2019"/>
      <sheetName val="July 2018 - Jan 2019"/>
      <sheetName val="Feb 2019 - June 2019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134">
          <cell r="D134" t="str">
            <v>Row Labels</v>
          </cell>
        </row>
      </sheetData>
      <sheetData sheetId="7"/>
      <sheetData sheetId="8"/>
      <sheetData sheetId="9"/>
      <sheetData sheetId="10">
        <row r="43">
          <cell r="C43">
            <v>-47081.020000000011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ipL/Documents/JCF/Treasurer/SOA%20Data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ip Loeb" refreshedDate="43859.709036574073" createdVersion="6" refreshedVersion="6" minRefreshableVersion="3" recordCount="882" xr:uid="{F404AAF1-54A9-436E-A4EE-436E9676300E}">
  <cacheSource type="worksheet">
    <worksheetSource name="data" r:id="rId2"/>
  </cacheSource>
  <cacheFields count="18">
    <cacheField name="FY" numFmtId="0">
      <sharedItems containsSemiMixedTypes="0" containsString="0" containsNumber="1" containsInteger="1" minValue="13" maxValue="19" count="7">
        <n v="13"/>
        <n v="14"/>
        <n v="15"/>
        <n v="16"/>
        <n v="17"/>
        <n v="18"/>
        <n v="19"/>
      </sharedItems>
    </cacheField>
    <cacheField name="Account No." numFmtId="0">
      <sharedItems/>
    </cacheField>
    <cacheField name="Account Code" numFmtId="0">
      <sharedItems/>
    </cacheField>
    <cacheField name="Type" numFmtId="0">
      <sharedItems count="5">
        <s v="CUST"/>
        <s v="DAF"/>
        <s v="PR"/>
        <s v="UFF"/>
        <s v="TR"/>
      </sharedItems>
    </cacheField>
    <cacheField name="Account Name" numFmtId="0">
      <sharedItems/>
    </cacheField>
    <cacheField name="Beginning Balance" numFmtId="43">
      <sharedItems containsSemiMixedTypes="0" containsString="0" containsNumber="1" minValue="0" maxValue="1569378.5"/>
    </cacheField>
    <cacheField name="Receipts" numFmtId="43">
      <sharedItems containsSemiMixedTypes="0" containsString="0" containsNumber="1" minValue="0" maxValue="504681.43"/>
    </cacheField>
    <cacheField name="Disbursements" numFmtId="43">
      <sharedItems containsSemiMixedTypes="0" containsString="0" containsNumber="1" minValue="-437000" maxValue="500"/>
    </cacheField>
    <cacheField name="Income" numFmtId="43">
      <sharedItems containsSemiMixedTypes="0" containsString="0" containsNumber="1" minValue="0" maxValue="35966.92"/>
    </cacheField>
    <cacheField name="Fees" numFmtId="43">
      <sharedItems containsSemiMixedTypes="0" containsString="0" containsNumber="1" minValue="-13813.08" maxValue="37.5"/>
    </cacheField>
    <cacheField name="Cash Transfers" numFmtId="0">
      <sharedItems containsString="0" containsBlank="1" containsNumber="1" containsInteger="1" minValue="0" maxValue="0"/>
    </cacheField>
    <cacheField name="Realized Gain/Loss" numFmtId="43">
      <sharedItems containsSemiMixedTypes="0" containsString="0" containsNumber="1" minValue="-3478.57" maxValue="16334.85"/>
    </cacheField>
    <cacheField name="Unrealized Gain/Loss" numFmtId="43">
      <sharedItems containsSemiMixedTypes="0" containsString="0" containsNumber="1" minValue="-54034.05" maxValue="196034.6"/>
    </cacheField>
    <cacheField name="Adjustments" numFmtId="43">
      <sharedItems containsSemiMixedTypes="0" containsString="0" containsNumber="1" minValue="-55.21" maxValue="55.21"/>
    </cacheField>
    <cacheField name="Adjusted Realized G/L" numFmtId="43">
      <sharedItems containsSemiMixedTypes="0" containsString="0" containsNumber="1" minValue="-3475.76" maxValue="16334.85"/>
    </cacheField>
    <cacheField name="Ending Balance" numFmtId="43">
      <sharedItems containsSemiMixedTypes="0" containsString="0" containsNumber="1" minValue="0" maxValue="1569378.5"/>
    </cacheField>
    <cacheField name="x" numFmtId="0">
      <sharedItems containsNonDate="0" containsString="0" containsBlank="1"/>
    </cacheField>
    <cacheField name="Income, Gains &amp; Losses" numFmtId="43">
      <sharedItems containsSemiMixedTypes="0" containsString="0" containsNumber="1" minValue="-25197.170000000006" maxValue="239636.77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2">
  <r>
    <x v="0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0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0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0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0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0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0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0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0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0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0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0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0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0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0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0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0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0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0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0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0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0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0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0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0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0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0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0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0"/>
    <s v="56365"/>
    <s v="FREEMA39"/>
    <x v="1"/>
    <s v="Herbert and Joan Freeman Fund"/>
    <n v="0"/>
    <n v="0"/>
    <n v="0"/>
    <n v="0"/>
    <n v="0"/>
    <n v="0"/>
    <n v="-0.01"/>
    <n v="0"/>
    <n v="0"/>
    <n v="-0.01"/>
    <n v="0"/>
    <m/>
    <n v="-0.01"/>
  </r>
  <r>
    <x v="0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0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0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0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0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0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0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0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0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0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0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0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0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0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0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0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0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0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0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0"/>
    <s v="47724"/>
    <s v="SNOW2"/>
    <x v="1"/>
    <s v="Snow - Nagelberg Philanthropic Fund"/>
    <n v="0"/>
    <n v="0"/>
    <n v="0"/>
    <n v="0"/>
    <n v="0"/>
    <n v="0"/>
    <n v="0"/>
    <n v="0"/>
    <n v="0"/>
    <n v="0"/>
    <n v="0"/>
    <m/>
    <n v="0"/>
  </r>
  <r>
    <x v="0"/>
    <s v="47350"/>
    <s v="FELDMA18"/>
    <x v="1"/>
    <s v="Dena Feldman Fund for Tzedakah"/>
    <n v="0"/>
    <n v="0"/>
    <n v="0"/>
    <n v="0"/>
    <n v="0"/>
    <n v="0"/>
    <n v="0"/>
    <n v="0"/>
    <n v="0"/>
    <n v="0"/>
    <n v="0"/>
    <m/>
    <n v="0"/>
  </r>
  <r>
    <x v="0"/>
    <s v="47349"/>
    <s v="FRAM1"/>
    <x v="1"/>
    <s v="Harvey &amp; Carine Fram Charitable Gift Fund"/>
    <n v="0"/>
    <n v="0"/>
    <n v="0"/>
    <n v="0"/>
    <n v="0"/>
    <n v="0"/>
    <n v="0"/>
    <n v="0"/>
    <n v="0"/>
    <n v="0"/>
    <n v="0"/>
    <m/>
    <n v="0"/>
  </r>
  <r>
    <x v="0"/>
    <s v="46976"/>
    <s v="DAVIDS12"/>
    <x v="1"/>
    <s v="Davidson Philanthropic Fund"/>
    <n v="0"/>
    <n v="0"/>
    <n v="0"/>
    <n v="0"/>
    <n v="0"/>
    <n v="0"/>
    <n v="0"/>
    <n v="0"/>
    <n v="0"/>
    <n v="0"/>
    <n v="0"/>
    <m/>
    <n v="0"/>
  </r>
  <r>
    <x v="0"/>
    <s v="46842"/>
    <s v="FELDST4"/>
    <x v="1"/>
    <s v="Lori and Michael Feldstein Fund"/>
    <n v="0"/>
    <n v="0"/>
    <n v="0"/>
    <n v="0"/>
    <n v="0"/>
    <n v="0"/>
    <n v="0"/>
    <n v="0"/>
    <n v="0"/>
    <n v="0"/>
    <n v="0"/>
    <m/>
    <n v="0"/>
  </r>
  <r>
    <x v="0"/>
    <s v="46751"/>
    <s v="SHAKUN2"/>
    <x v="2"/>
    <s v="Beth El's Future"/>
    <n v="0"/>
    <n v="0"/>
    <n v="0"/>
    <n v="0"/>
    <n v="0"/>
    <n v="0"/>
    <n v="0"/>
    <n v="0"/>
    <n v="0"/>
    <n v="0"/>
    <n v="0"/>
    <m/>
    <n v="0"/>
  </r>
  <r>
    <x v="0"/>
    <s v="46630"/>
    <s v="KOHN7"/>
    <x v="0"/>
    <s v="The Richard M. Kohn Endowment Fund"/>
    <n v="0"/>
    <n v="0"/>
    <n v="0"/>
    <n v="0"/>
    <n v="0"/>
    <n v="0"/>
    <n v="0"/>
    <n v="0"/>
    <n v="0"/>
    <n v="0"/>
    <n v="0"/>
    <m/>
    <n v="0"/>
  </r>
  <r>
    <x v="0"/>
    <s v="45234"/>
    <s v="LEIBOW1"/>
    <x v="1"/>
    <s v="Donald S. Leibowitz and Karen Brodsky Philanthropic Fund"/>
    <n v="0"/>
    <n v="24582.59"/>
    <n v="0"/>
    <n v="103.51"/>
    <n v="0"/>
    <n v="0"/>
    <n v="0"/>
    <n v="-682.91"/>
    <n v="0"/>
    <n v="0"/>
    <n v="24003.19"/>
    <m/>
    <n v="-579.4"/>
  </r>
  <r>
    <x v="0"/>
    <s v="44365"/>
    <s v="DIAMON3"/>
    <x v="1"/>
    <s v="Rabbi James S. Diamond Memorial Fund"/>
    <n v="0"/>
    <n v="6809"/>
    <n v="0"/>
    <n v="33.130000000000003"/>
    <n v="0"/>
    <n v="0"/>
    <n v="0"/>
    <n v="-146.54"/>
    <n v="0"/>
    <n v="0"/>
    <n v="6695.59"/>
    <m/>
    <n v="-113.41"/>
  </r>
  <r>
    <x v="0"/>
    <s v="43836"/>
    <s v="ZLATIN1"/>
    <x v="1"/>
    <s v="Tikkun Olam Fund"/>
    <n v="0"/>
    <n v="6270"/>
    <n v="0"/>
    <n v="50.85"/>
    <n v="-15.74"/>
    <n v="0"/>
    <n v="1.52"/>
    <n v="-76.069999999999993"/>
    <n v="0"/>
    <n v="1.52"/>
    <n v="6230.56"/>
    <m/>
    <n v="-23.699999999999992"/>
  </r>
  <r>
    <x v="0"/>
    <s v="43834"/>
    <s v="GARBER7"/>
    <x v="1"/>
    <s v="Eileen and Robert Garber Family Fund"/>
    <n v="0"/>
    <n v="2000"/>
    <n v="0"/>
    <n v="15.59"/>
    <n v="-5.01"/>
    <n v="0"/>
    <n v="0"/>
    <n v="-34.04"/>
    <n v="0"/>
    <n v="0"/>
    <n v="1976.54"/>
    <m/>
    <n v="-18.45"/>
  </r>
  <r>
    <x v="0"/>
    <s v="42917"/>
    <s v="UJFPMB5"/>
    <x v="0"/>
    <s v="UJFPMB Kravitz"/>
    <n v="100256.55"/>
    <n v="0"/>
    <n v="-4858"/>
    <n v="2867.89"/>
    <n v="-1021.37"/>
    <n v="0"/>
    <n v="529.34"/>
    <n v="8161.18"/>
    <n v="0.01"/>
    <n v="529.35"/>
    <n v="105935.6"/>
    <m/>
    <n v="11558.42"/>
  </r>
  <r>
    <x v="0"/>
    <s v="42559"/>
    <s v="PUNIA1"/>
    <x v="3"/>
    <s v="Renee Punia Fund"/>
    <n v="104299.69"/>
    <n v="0"/>
    <n v="-5051"/>
    <n v="2983.55"/>
    <n v="-1062.43"/>
    <n v="0"/>
    <n v="817.68"/>
    <n v="8124.9"/>
    <n v="0"/>
    <n v="817.68"/>
    <n v="110112.39"/>
    <m/>
    <n v="11926.130000000001"/>
  </r>
  <r>
    <x v="0"/>
    <s v="42558"/>
    <s v="KEHILL1"/>
    <x v="3"/>
    <s v="The Kehillah Fund"/>
    <n v="58728.54"/>
    <n v="459"/>
    <n v="0"/>
    <n v="1457.66"/>
    <n v="0"/>
    <n v="0"/>
    <n v="103.45"/>
    <n v="4968.72"/>
    <n v="-0.01"/>
    <n v="103.44"/>
    <n v="65717.36"/>
    <m/>
    <n v="6529.82"/>
  </r>
  <r>
    <x v="0"/>
    <s v="42557"/>
    <s v="FIF1"/>
    <x v="3"/>
    <s v="Foundation Investment Fund"/>
    <n v="124688.34"/>
    <n v="0"/>
    <n v="0"/>
    <n v="3624.36"/>
    <n v="0"/>
    <n v="0"/>
    <n v="339.4"/>
    <n v="10665.44"/>
    <n v="0.02"/>
    <n v="339.41999999999996"/>
    <n v="139317.56"/>
    <m/>
    <n v="14629.220000000001"/>
  </r>
  <r>
    <x v="0"/>
    <s v="42555"/>
    <s v="UJFPMB4"/>
    <x v="0"/>
    <s v="UJFPMB Julius and Dorothy Koppelman Designated Fund"/>
    <n v="595075.06000000006"/>
    <n v="0"/>
    <n v="-65000"/>
    <n v="15984.15"/>
    <n v="-5712.05"/>
    <n v="0"/>
    <n v="12733.87"/>
    <n v="37925.699999999997"/>
    <n v="-0.01"/>
    <n v="12733.86"/>
    <n v="591006.71999999997"/>
    <m/>
    <n v="66643.709999999992"/>
  </r>
  <r>
    <x v="0"/>
    <s v="42554"/>
    <s v="UJFPMB3"/>
    <x v="0"/>
    <s v="UJFPMB Shirley Kobak Lion of Judah Endowment Fund"/>
    <n v="83446.009999999995"/>
    <n v="0"/>
    <n v="-4030"/>
    <n v="2003.53"/>
    <n v="-845.29"/>
    <n v="0"/>
    <n v="602.41999999999996"/>
    <n v="6273.33"/>
    <n v="0.03"/>
    <n v="602.44999999999993"/>
    <n v="87450.03"/>
    <m/>
    <n v="8879.3100000000013"/>
  </r>
  <r>
    <x v="0"/>
    <s v="42553"/>
    <s v="UJFPMB2"/>
    <x v="0"/>
    <s v="UJFPMB Estates Fund"/>
    <n v="37734.300000000003"/>
    <n v="0"/>
    <n v="0"/>
    <n v="925.11"/>
    <n v="-396.26"/>
    <n v="0"/>
    <n v="64.17"/>
    <n v="3155.65"/>
    <n v="0"/>
    <n v="64.17"/>
    <n v="41482.97"/>
    <m/>
    <n v="4144.93"/>
  </r>
  <r>
    <x v="0"/>
    <s v="42552"/>
    <s v="SRF1"/>
    <x v="0"/>
    <s v="Soviet Resettlement Fund"/>
    <n v="767.32"/>
    <n v="0"/>
    <n v="0"/>
    <n v="6.93"/>
    <n v="0"/>
    <n v="0"/>
    <n v="0.38"/>
    <n v="-6.46"/>
    <n v="0"/>
    <n v="0.38"/>
    <n v="768.17"/>
    <m/>
    <n v="0.84999999999999976"/>
  </r>
  <r>
    <x v="0"/>
    <s v="42551"/>
    <s v="PACK1"/>
    <x v="0"/>
    <s v="JFCS Pack Scholarship Fund"/>
    <n v="16835.650000000001"/>
    <n v="0"/>
    <n v="-647"/>
    <n v="294.79000000000002"/>
    <n v="-170.74"/>
    <n v="0"/>
    <n v="8.0399999999999991"/>
    <n v="1418.3"/>
    <n v="0.01"/>
    <n v="8.0499999999999989"/>
    <n v="17739.05"/>
    <m/>
    <n v="1721.1399999999999"/>
  </r>
  <r>
    <x v="0"/>
    <s v="42550"/>
    <s v="AHALF1"/>
    <x v="0"/>
    <s v="AHA Sandy Light Fund"/>
    <n v="18033.37"/>
    <n v="183"/>
    <n v="-683"/>
    <n v="310.83"/>
    <n v="-182.99"/>
    <n v="0"/>
    <n v="206.45"/>
    <n v="1261.54"/>
    <n v="0"/>
    <n v="206.45"/>
    <n v="19129.2"/>
    <m/>
    <n v="1778.82"/>
  </r>
  <r>
    <x v="0"/>
    <s v="42549"/>
    <s v="SILK1"/>
    <x v="1"/>
    <s v="Allen and Judith Silk Philanthropic Fund"/>
    <n v="28709.67"/>
    <n v="0"/>
    <n v="-7500"/>
    <n v="440.47"/>
    <n v="-273.49"/>
    <n v="0"/>
    <n v="1539.86"/>
    <n v="609.70000000000005"/>
    <n v="0"/>
    <n v="1539.86"/>
    <n v="23526.21"/>
    <m/>
    <n v="2590.0299999999997"/>
  </r>
  <r>
    <x v="0"/>
    <s v="42548"/>
    <s v="ROJER2"/>
    <x v="2"/>
    <s v="Goldie B. Rojer Hunger Relief Fund"/>
    <n v="47454.74"/>
    <n v="0"/>
    <n v="-1836"/>
    <n v="1137.25"/>
    <n v="-484.17"/>
    <n v="0"/>
    <n v="350.77"/>
    <n v="3582.51"/>
    <n v="0"/>
    <n v="350.77"/>
    <n v="50205.1"/>
    <m/>
    <n v="5070.5300000000007"/>
  </r>
  <r>
    <x v="0"/>
    <s v="42547"/>
    <s v="BERKOW5"/>
    <x v="2"/>
    <s v="Anne and Bernard Berkowitz Legacy Fund"/>
    <n v="11397.96"/>
    <n v="0"/>
    <n v="-546"/>
    <n v="193.93"/>
    <n v="-114.76"/>
    <n v="0"/>
    <n v="5.4"/>
    <n v="958.4"/>
    <n v="0"/>
    <n v="5.4"/>
    <n v="11894.93"/>
    <m/>
    <n v="1157.73"/>
  </r>
  <r>
    <x v="0"/>
    <s v="42546"/>
    <s v="YSF1"/>
    <x v="4"/>
    <s v="Youth Scholarship Fund"/>
    <n v="4562.01"/>
    <n v="0"/>
    <n v="0"/>
    <n v="41.66"/>
    <n v="0"/>
    <n v="0"/>
    <n v="2.2999999999999998"/>
    <n v="-38.36"/>
    <n v="0"/>
    <n v="2.2999999999999998"/>
    <n v="4567.6099999999997"/>
    <m/>
    <n v="5.599999999999997"/>
  </r>
  <r>
    <x v="0"/>
    <s v="42545"/>
    <s v="WOLLIN1"/>
    <x v="4"/>
    <s v="Wollin Scholarship Fund"/>
    <n v="35090.239999999998"/>
    <n v="0"/>
    <n v="-5000"/>
    <n v="782.81"/>
    <n v="-329.93"/>
    <n v="0"/>
    <n v="857.04"/>
    <n v="1870.31"/>
    <n v="0.01"/>
    <n v="857.05"/>
    <n v="33270.480000000003"/>
    <m/>
    <n v="3510.17"/>
  </r>
  <r>
    <x v="0"/>
    <s v="42544"/>
    <s v="UJFPMB1"/>
    <x v="4"/>
    <s v="UJFPMB Income Fund"/>
    <n v="9610.32"/>
    <n v="0"/>
    <n v="-370"/>
    <n v="163.57"/>
    <n v="-97.5"/>
    <n v="0"/>
    <n v="98.66"/>
    <n v="726.51"/>
    <n v="0"/>
    <n v="98.66"/>
    <n v="10131.56"/>
    <m/>
    <n v="988.7399999999999"/>
  </r>
  <r>
    <x v="0"/>
    <s v="42543"/>
    <s v="SIF1"/>
    <x v="4"/>
    <s v="Scholarship Investment Fund"/>
    <n v="23403.63"/>
    <n v="0"/>
    <n v="-962"/>
    <n v="397.77"/>
    <n v="-236.6"/>
    <n v="0"/>
    <n v="258.14"/>
    <n v="1638.1"/>
    <n v="0"/>
    <n v="258.14"/>
    <n v="24499.040000000001"/>
    <m/>
    <n v="2294.0099999999998"/>
  </r>
  <r>
    <x v="0"/>
    <s v="42542"/>
    <s v="OFFNER1"/>
    <x v="2"/>
    <s v="Offner JFCS Senior Services Fund"/>
    <n v="14318.22"/>
    <n v="0"/>
    <n v="-550"/>
    <n v="272.7"/>
    <n v="-145.55000000000001"/>
    <n v="0"/>
    <n v="2513.9"/>
    <n v="-1283.1199999999999"/>
    <n v="0"/>
    <n v="2513.9"/>
    <n v="15126.15"/>
    <m/>
    <n v="1503.4800000000002"/>
  </r>
  <r>
    <x v="0"/>
    <s v="42541"/>
    <s v="KLATZK2"/>
    <x v="4"/>
    <s v="Clive B. Klatzkin PACE Designated Fund"/>
    <n v="36403.96"/>
    <n v="0"/>
    <n v="0"/>
    <n v="888.2"/>
    <n v="-382.27"/>
    <n v="0"/>
    <n v="61.42"/>
    <n v="3045.55"/>
    <n v="-0.01"/>
    <n v="61.410000000000004"/>
    <n v="40016.85"/>
    <m/>
    <n v="3995.16"/>
  </r>
  <r>
    <x v="0"/>
    <s v="42540"/>
    <s v="KELSEY2"/>
    <x v="4"/>
    <s v="Harold H. Kelsey Greenwood House Fund"/>
    <n v="104921.62"/>
    <n v="0"/>
    <n v="-9133"/>
    <n v="2869.8"/>
    <n v="-1036.73"/>
    <n v="0"/>
    <n v="826.64"/>
    <n v="7992.25"/>
    <n v="0"/>
    <n v="826.64"/>
    <n v="106440.58"/>
    <m/>
    <n v="11688.689999999999"/>
  </r>
  <r>
    <x v="0"/>
    <s v="42539"/>
    <s v="KAHN7"/>
    <x v="4"/>
    <s v="Albert B. Kahn Scholarship Fund"/>
    <n v="122109.71"/>
    <n v="0"/>
    <n v="-5069"/>
    <n v="3503.73"/>
    <n v="-1250.42"/>
    <n v="0"/>
    <n v="1253.52"/>
    <n v="9308.91"/>
    <n v="0"/>
    <n v="1253.52"/>
    <n v="129856.45"/>
    <m/>
    <n v="14066.16"/>
  </r>
  <r>
    <x v="0"/>
    <s v="42537"/>
    <s v="GHIF1"/>
    <x v="4"/>
    <s v="Greenwood House Income Fund"/>
    <n v="10057.450000000001"/>
    <n v="0"/>
    <n v="-387"/>
    <n v="174.3"/>
    <n v="-102.16"/>
    <n v="0"/>
    <n v="4.63"/>
    <n v="887.49"/>
    <n v="0"/>
    <n v="4.63"/>
    <n v="10634.71"/>
    <m/>
    <n v="1066.42"/>
  </r>
  <r>
    <x v="0"/>
    <s v="42536"/>
    <s v="GLAZER2"/>
    <x v="4"/>
    <s v="Henry and Geralyn Glazer Greenwood House Scholarship Fund"/>
    <n v="32737.07"/>
    <n v="0"/>
    <n v="-1300"/>
    <n v="777.19"/>
    <n v="-333.71"/>
    <n v="0"/>
    <n v="407.54"/>
    <n v="2296.69"/>
    <n v="0"/>
    <n v="407.54"/>
    <n v="34584.78"/>
    <m/>
    <n v="3481.42"/>
  </r>
  <r>
    <x v="0"/>
    <s v="42535"/>
    <s v="GARB3"/>
    <x v="4"/>
    <s v="Benjamin Garb Scholarship Fund"/>
    <n v="33101.72"/>
    <n v="0"/>
    <n v="-1369"/>
    <n v="1589.95"/>
    <n v="-337.04"/>
    <n v="0"/>
    <n v="365.83"/>
    <n v="1568.76"/>
    <n v="0"/>
    <n v="365.83"/>
    <n v="34920.22"/>
    <m/>
    <n v="3524.54"/>
  </r>
  <r>
    <x v="0"/>
    <s v="42534"/>
    <s v="EDINIT1"/>
    <x v="4"/>
    <s v="Educational Initiative Fund"/>
    <n v="37819.94"/>
    <n v="0"/>
    <n v="-1461"/>
    <n v="905.74"/>
    <n v="-385.89"/>
    <n v="0"/>
    <n v="324.47000000000003"/>
    <n v="2814.05"/>
    <n v="0"/>
    <n v="324.47000000000003"/>
    <n v="40017.31"/>
    <m/>
    <n v="4044.26"/>
  </r>
  <r>
    <x v="0"/>
    <s v="42533"/>
    <s v="DENBO4"/>
    <x v="4"/>
    <s v="Alexander &amp; Syble G. Denbo Penn State/Dickinson School of Law Fund"/>
    <n v="213827.63"/>
    <n v="0"/>
    <n v="-18586"/>
    <n v="5903.18"/>
    <n v="-2114.27"/>
    <n v="0"/>
    <n v="1634.12"/>
    <n v="16485.080000000002"/>
    <n v="0"/>
    <n v="1634.12"/>
    <n v="217149.74"/>
    <m/>
    <n v="24022.38"/>
  </r>
  <r>
    <x v="0"/>
    <s v="42532"/>
    <s v="DENBO3"/>
    <x v="2"/>
    <s v="Alexander &amp; Syble G. Denbo JFCS Fund"/>
    <n v="1362762.52"/>
    <n v="5418.82"/>
    <n v="-80325.179999999993"/>
    <n v="35966.92"/>
    <n v="-12940.33"/>
    <n v="0"/>
    <n v="5344.41"/>
    <n v="111385"/>
    <n v="-0.01"/>
    <n v="5344.4"/>
    <n v="1427612.15"/>
    <m/>
    <n v="152696.31999999998"/>
  </r>
  <r>
    <x v="0"/>
    <s v="42531"/>
    <s v="DENBO2"/>
    <x v="2"/>
    <s v="Alexander &amp; Syble G. Denbo Greenwood House Fund"/>
    <n v="1234956.54"/>
    <n v="5418.82"/>
    <n v="-109123.16"/>
    <n v="31635.15"/>
    <n v="-11753.97"/>
    <n v="0"/>
    <n v="6336.92"/>
    <n v="94663.74"/>
    <n v="0.1"/>
    <n v="6337.02"/>
    <n v="1252134.1399999999"/>
    <m/>
    <n v="132635.91"/>
  </r>
  <r>
    <x v="0"/>
    <s v="42530"/>
    <s v="DENBO1"/>
    <x v="4"/>
    <s v="Alexander Denbo School Fund"/>
    <n v="19155.169999999998"/>
    <n v="0"/>
    <n v="-751"/>
    <n v="338.9"/>
    <n v="-197.91"/>
    <n v="0"/>
    <n v="9.5500000000000007"/>
    <n v="1615.53"/>
    <n v="0.05"/>
    <n v="9.6000000000000014"/>
    <n v="20170.29"/>
    <m/>
    <n v="1964.0299999999997"/>
  </r>
  <r>
    <x v="0"/>
    <s v="42529"/>
    <s v="AHAPIF1"/>
    <x v="4"/>
    <s v="AHA Pooled Special Funds"/>
    <n v="2140"/>
    <n v="0"/>
    <n v="0"/>
    <n v="19.54"/>
    <n v="0"/>
    <n v="0"/>
    <n v="1.08"/>
    <n v="-18.010000000000002"/>
    <n v="0"/>
    <n v="1.08"/>
    <n v="2142.61"/>
    <m/>
    <n v="2.6099999999999977"/>
  </r>
  <r>
    <x v="0"/>
    <s v="42528"/>
    <s v="ZELTT1"/>
    <x v="1"/>
    <s v="Harold &amp; Marilyn Zeltt Charitable Fund"/>
    <n v="33727.949999999997"/>
    <n v="0"/>
    <n v="-10000"/>
    <n v="638.72"/>
    <n v="-302.95999999999998"/>
    <n v="0"/>
    <n v="-5.05"/>
    <n v="2712.62"/>
    <n v="0"/>
    <n v="-5.05"/>
    <n v="26771.279999999999"/>
    <m/>
    <n v="3346.29"/>
  </r>
  <r>
    <x v="0"/>
    <s v="42527"/>
    <s v="WISOTS1"/>
    <x v="1"/>
    <s v="Wisotsky Family Philanthropic Fund"/>
    <n v="5432.8"/>
    <n v="0"/>
    <n v="0"/>
    <n v="92.75"/>
    <n v="-56.51"/>
    <n v="0"/>
    <n v="2.74"/>
    <n v="427.96"/>
    <n v="0"/>
    <n v="2.74"/>
    <n v="5899.74"/>
    <m/>
    <n v="523.45000000000005"/>
  </r>
  <r>
    <x v="0"/>
    <s v="42525"/>
    <s v="URKEN1"/>
    <x v="1"/>
    <s v="Ernestine and Karl Urken Philanthropic Fund"/>
    <n v="13029.7"/>
    <n v="0"/>
    <n v="-1700"/>
    <n v="209.58"/>
    <n v="-125.66"/>
    <n v="0"/>
    <n v="299.82"/>
    <n v="777.99"/>
    <n v="0"/>
    <n v="299.82"/>
    <n v="12491.43"/>
    <m/>
    <n v="1287.3900000000001"/>
  </r>
  <r>
    <x v="0"/>
    <s v="42524"/>
    <s v="SUCHAR1"/>
    <x v="1"/>
    <s v="Sucharow Family Charitable Fund"/>
    <n v="296780.33"/>
    <n v="250000"/>
    <n v="-101000"/>
    <n v="10527.51"/>
    <n v="-4013.92"/>
    <n v="0"/>
    <n v="2598.2199999999998"/>
    <n v="23738.15"/>
    <n v="0"/>
    <n v="2598.2199999999998"/>
    <n v="478630.29"/>
    <m/>
    <n v="36863.880000000005"/>
  </r>
  <r>
    <x v="0"/>
    <s v="42523"/>
    <s v="STIX1"/>
    <x v="1"/>
    <s v="Stix Charitable Fund"/>
    <n v="63429.56"/>
    <n v="100000"/>
    <n v="0"/>
    <n v="2944.09"/>
    <n v="-1173.79"/>
    <n v="0"/>
    <n v="473.94"/>
    <n v="6007.7"/>
    <n v="0"/>
    <n v="473.94"/>
    <n v="171681.5"/>
    <m/>
    <n v="9425.7300000000014"/>
  </r>
  <r>
    <x v="0"/>
    <s v="42522"/>
    <s v="SMUKLE3"/>
    <x v="1"/>
    <s v="Smukler Fund"/>
    <n v="908326.88"/>
    <n v="0"/>
    <n v="-70000"/>
    <n v="26735.94"/>
    <n v="-9247.56"/>
    <n v="0"/>
    <n v="11370.54"/>
    <n v="68700.490000000005"/>
    <n v="0.01"/>
    <n v="11370.550000000001"/>
    <n v="935886.3"/>
    <m/>
    <n v="106806.98000000001"/>
  </r>
  <r>
    <x v="0"/>
    <s v="42520"/>
    <s v="SHECHT5"/>
    <x v="1"/>
    <s v="Shechtel Children's Fund"/>
    <n v="5815.27"/>
    <n v="0"/>
    <n v="0"/>
    <n v="92.53"/>
    <n v="-60.06"/>
    <n v="0"/>
    <n v="3.12"/>
    <n v="367.45"/>
    <n v="0"/>
    <n v="3.12"/>
    <n v="6218.31"/>
    <m/>
    <n v="463.1"/>
  </r>
  <r>
    <x v="0"/>
    <s v="42519"/>
    <s v="SCHWAR33"/>
    <x v="1"/>
    <s v="Judith &amp; Martin Schwartz Family Charitable Trust"/>
    <n v="87253.79"/>
    <n v="18166.18"/>
    <n v="-15750"/>
    <n v="2261.59"/>
    <n v="-965.81"/>
    <n v="0"/>
    <n v="2948.53"/>
    <n v="4590.3"/>
    <n v="0"/>
    <n v="2948.53"/>
    <n v="98504.58"/>
    <m/>
    <n v="9800.42"/>
  </r>
  <r>
    <x v="0"/>
    <s v="42518"/>
    <s v="SCHNUR3"/>
    <x v="1"/>
    <s v="Schnur Family Philanthropic Fund"/>
    <n v="166285.25"/>
    <n v="0"/>
    <n v="-33000"/>
    <n v="4602.32"/>
    <n v="-1660.48"/>
    <n v="0"/>
    <n v="3804.46"/>
    <n v="10394.74"/>
    <n v="0"/>
    <n v="3804.46"/>
    <n v="150426.29"/>
    <m/>
    <n v="18801.52"/>
  </r>
  <r>
    <x v="0"/>
    <s v="42516"/>
    <s v="SHAKUN1"/>
    <x v="1"/>
    <s v="Shakun &amp; Devery Family Fund"/>
    <n v="11737.66"/>
    <n v="10000"/>
    <n v="-3750"/>
    <n v="281.45"/>
    <n v="-155.56"/>
    <n v="0"/>
    <n v="72.88"/>
    <n v="1063.57"/>
    <n v="0"/>
    <n v="72.88"/>
    <n v="19250"/>
    <m/>
    <n v="1417.9"/>
  </r>
  <r>
    <x v="0"/>
    <s v="42515"/>
    <s v="SCHAEF7"/>
    <x v="1"/>
    <s v="Schaefer Family Philanthropic Fund"/>
    <n v="56233.23"/>
    <n v="52699.96"/>
    <n v="-40500"/>
    <n v="1726.15"/>
    <n v="-779.76"/>
    <n v="0"/>
    <n v="314.19"/>
    <n v="5817.47"/>
    <n v="-0.01"/>
    <n v="314.18"/>
    <n v="75511.23"/>
    <m/>
    <n v="7857.8000000000011"/>
  </r>
  <r>
    <x v="0"/>
    <s v="42514"/>
    <s v="KOHN6"/>
    <x v="2"/>
    <s v="RMK PACE Fund"/>
    <n v="89017.68"/>
    <n v="126338.84"/>
    <n v="-130000"/>
    <n v="1297.98"/>
    <n v="-750.08"/>
    <n v="0"/>
    <n v="3224.19"/>
    <n v="892.65"/>
    <n v="0"/>
    <n v="3224.19"/>
    <n v="90021.26"/>
    <m/>
    <n v="5414.82"/>
  </r>
  <r>
    <x v="0"/>
    <s v="42513"/>
    <s v="PIMLEY1"/>
    <x v="1"/>
    <s v="Oliver Jenson Pimley Tzedakah Fund"/>
    <n v="6706.21"/>
    <n v="0"/>
    <n v="0"/>
    <n v="111.04"/>
    <n v="-69.58"/>
    <n v="0"/>
    <n v="3.4"/>
    <n v="490.82"/>
    <n v="0"/>
    <n v="3.4"/>
    <n v="7241.89"/>
    <m/>
    <n v="605.26"/>
  </r>
  <r>
    <x v="0"/>
    <s v="42512"/>
    <s v="PERLMA8"/>
    <x v="1"/>
    <s v="Bonnie and Richard Perlman Philanthropic Fund"/>
    <n v="18188.02"/>
    <n v="0"/>
    <n v="-10050"/>
    <n v="263.3"/>
    <n v="-175.72"/>
    <n v="0"/>
    <n v="546.82000000000005"/>
    <n v="1323.86"/>
    <n v="0"/>
    <n v="546.82000000000005"/>
    <n v="10096.280000000001"/>
    <m/>
    <n v="2133.98"/>
  </r>
  <r>
    <x v="0"/>
    <s v="42511"/>
    <s v="PERLMA7"/>
    <x v="1"/>
    <s v="B. Perlman Family Charitable Fund"/>
    <n v="10077.4"/>
    <n v="5000"/>
    <n v="-3530"/>
    <n v="189.71"/>
    <n v="-121.14"/>
    <n v="0"/>
    <n v="1483.02"/>
    <n v="-715.72"/>
    <n v="0"/>
    <n v="1483.02"/>
    <n v="12383.27"/>
    <m/>
    <n v="957.01"/>
  </r>
  <r>
    <x v="0"/>
    <s v="42510"/>
    <s v="NEUMAN3"/>
    <x v="1"/>
    <s v="Jerry Neumann &amp; Naomi Richman Philanthropic Fund"/>
    <n v="12735.96"/>
    <n v="20776.21"/>
    <n v="-7100"/>
    <n v="399.23"/>
    <n v="-223.94"/>
    <n v="0"/>
    <n v="142.87"/>
    <n v="1171.71"/>
    <n v="0"/>
    <n v="142.87"/>
    <n v="27902.04"/>
    <m/>
    <n v="1713.81"/>
  </r>
  <r>
    <x v="0"/>
    <s v="42509"/>
    <s v="MILLER147"/>
    <x v="1"/>
    <s v="Sue Ellen and David H. Miller Family Charitable Fund"/>
    <n v="11425.45"/>
    <n v="0"/>
    <n v="0"/>
    <n v="201.02"/>
    <n v="-119.31"/>
    <n v="0"/>
    <n v="5.48"/>
    <n v="994.54"/>
    <n v="0"/>
    <n v="5.48"/>
    <n v="12507.18"/>
    <m/>
    <n v="1201.04"/>
  </r>
  <r>
    <x v="0"/>
    <s v="42508"/>
    <s v="KLATZK1"/>
    <x v="1"/>
    <s v="Clive and Audrey Klatzkin Family Philanthropic Fund"/>
    <n v="57594.65"/>
    <n v="0"/>
    <n v="0"/>
    <n v="1408.88"/>
    <n v="-604.80999999999995"/>
    <n v="0"/>
    <n v="97.58"/>
    <n v="4817.33"/>
    <n v="-0.01"/>
    <n v="97.57"/>
    <n v="63313.62"/>
    <m/>
    <n v="6323.78"/>
  </r>
  <r>
    <x v="0"/>
    <s v="42507"/>
    <s v="KALISH2"/>
    <x v="1"/>
    <s v="Peggy and Errol Kalish Philanthropic Fund"/>
    <n v="57568.97"/>
    <n v="0"/>
    <n v="0"/>
    <n v="1408.03"/>
    <n v="-604.53"/>
    <n v="0"/>
    <n v="97.51"/>
    <n v="4814.99"/>
    <n v="-0.01"/>
    <n v="97.5"/>
    <n v="63284.959999999999"/>
    <m/>
    <n v="6320.5199999999995"/>
  </r>
  <r>
    <x v="0"/>
    <s v="42506"/>
    <s v="KAHN6"/>
    <x v="1"/>
    <s v="Kahn Family Philanthropic Fund"/>
    <n v="8172.1"/>
    <n v="7921.87"/>
    <n v="-8225"/>
    <n v="115.89"/>
    <n v="-90.9"/>
    <n v="0"/>
    <n v="1899.8"/>
    <n v="-1292.5999999999999"/>
    <n v="0"/>
    <n v="1899.8"/>
    <n v="8501.16"/>
    <m/>
    <n v="723.09000000000015"/>
  </r>
  <r>
    <x v="0"/>
    <s v="42505"/>
    <s v="HARRIS51"/>
    <x v="1"/>
    <s v="Sara Jane and Morris Harris Philanthropic Fund"/>
    <n v="81283.539999999994"/>
    <n v="0"/>
    <n v="-10000"/>
    <n v="1889.89"/>
    <n v="-802.86"/>
    <n v="0"/>
    <n v="1696.72"/>
    <n v="5069.46"/>
    <n v="0"/>
    <n v="1696.72"/>
    <n v="79136.75"/>
    <m/>
    <n v="8656.07"/>
  </r>
  <r>
    <x v="0"/>
    <s v="42504"/>
    <s v="GOODMA11"/>
    <x v="1"/>
    <s v="Goodman Family Philanthropic Fund"/>
    <n v="26786.09"/>
    <n v="0"/>
    <n v="0"/>
    <n v="474.84"/>
    <n v="-279.37"/>
    <n v="0"/>
    <n v="12.88"/>
    <n v="2249.2800000000002"/>
    <n v="0"/>
    <n v="12.88"/>
    <n v="29243.72"/>
    <m/>
    <n v="2737.0000000000005"/>
  </r>
  <r>
    <x v="0"/>
    <s v="42503"/>
    <s v="GOLDMA21"/>
    <x v="1"/>
    <s v="Debby and Peter Goldman Fund"/>
    <n v="133327.06"/>
    <n v="0"/>
    <n v="0"/>
    <n v="3888.34"/>
    <n v="-1408.14"/>
    <n v="0"/>
    <n v="694.2"/>
    <n v="11165.75"/>
    <n v="0"/>
    <n v="694.2"/>
    <n v="147667.21"/>
    <m/>
    <n v="15748.29"/>
  </r>
  <r>
    <x v="0"/>
    <s v="42502"/>
    <s v="GLAZER1"/>
    <x v="1"/>
    <s v="Richard M. Glazer Philanthropic Fund"/>
    <n v="13869.17"/>
    <n v="0"/>
    <n v="-600"/>
    <n v="235.76"/>
    <n v="-141.71"/>
    <n v="0"/>
    <n v="131.05000000000001"/>
    <n v="1060.0999999999999"/>
    <n v="0"/>
    <n v="131.05000000000001"/>
    <n v="14554.37"/>
    <m/>
    <n v="1426.9099999999999"/>
  </r>
  <r>
    <x v="0"/>
    <s v="42499"/>
    <s v="FELDMA13"/>
    <x v="1"/>
    <s v="Talia Feldman Fund for Tzedakah"/>
    <n v="17350.66"/>
    <n v="2941"/>
    <n v="-1600"/>
    <n v="390.5"/>
    <n v="-155.07"/>
    <n v="0"/>
    <n v="61.12"/>
    <n v="1094.95"/>
    <n v="0"/>
    <n v="61.12"/>
    <n v="20083.16"/>
    <m/>
    <n v="1546.57"/>
  </r>
  <r>
    <x v="0"/>
    <s v="42498"/>
    <s v="FANNIN3"/>
    <x v="1"/>
    <s v="Lillian and Arthur Fanning Memorial Fund"/>
    <n v="56460.06"/>
    <n v="0"/>
    <n v="-3600"/>
    <n v="1349.35"/>
    <n v="-583.82000000000005"/>
    <n v="0"/>
    <n v="94.02"/>
    <n v="4749.7700000000004"/>
    <n v="0"/>
    <n v="94.02"/>
    <n v="58469.38"/>
    <m/>
    <n v="6193.1400000000012"/>
  </r>
  <r>
    <x v="0"/>
    <s v="42497"/>
    <s v="FAMILA1"/>
    <x v="1"/>
    <s v="Rosalind &quot;Mimi&quot; and Aaron &quot;Poppy&quot; Familant Fund"/>
    <n v="22759.11"/>
    <n v="0"/>
    <n v="0"/>
    <n v="405.34"/>
    <n v="-237.37"/>
    <n v="0"/>
    <n v="11.15"/>
    <n v="1910.82"/>
    <n v="0"/>
    <n v="11.15"/>
    <n v="24849.05"/>
    <m/>
    <n v="2327.31"/>
  </r>
  <r>
    <x v="0"/>
    <s v="42496"/>
    <s v="ENTIN1"/>
    <x v="1"/>
    <s v="Sadie and Leon Entin Memorial Fund"/>
    <n v="10170.66"/>
    <n v="0"/>
    <n v="-250"/>
    <n v="177.26"/>
    <n v="-106.1"/>
    <n v="0"/>
    <n v="5.09"/>
    <n v="868.27"/>
    <n v="0"/>
    <n v="5.09"/>
    <n v="10865.18"/>
    <m/>
    <n v="1050.6199999999999"/>
  </r>
  <r>
    <x v="0"/>
    <s v="42495"/>
    <s v="EGGER2"/>
    <x v="1"/>
    <s v="Audrey and David Egger Charitable Fund"/>
    <n v="13201.62"/>
    <n v="0"/>
    <n v="0"/>
    <n v="230.18"/>
    <n v="-137.74"/>
    <n v="0"/>
    <n v="94.33"/>
    <n v="1033.5899999999999"/>
    <n v="0"/>
    <n v="94.33"/>
    <n v="14421.98"/>
    <m/>
    <n v="1358.1"/>
  </r>
  <r>
    <x v="0"/>
    <s v="42494"/>
    <s v="COHEN57"/>
    <x v="1"/>
    <s v="Janet and Howard Cohen Philanthropic Fund"/>
    <n v="11481.75"/>
    <n v="30000"/>
    <n v="-1000"/>
    <n v="682.52"/>
    <n v="-348.41"/>
    <n v="0"/>
    <n v="155.47999999999999"/>
    <n v="1416.27"/>
    <n v="0.09"/>
    <n v="155.57"/>
    <n v="42387.7"/>
    <m/>
    <n v="2254.36"/>
  </r>
  <r>
    <x v="0"/>
    <s v="42493"/>
    <s v="BURNS15"/>
    <x v="1"/>
    <s v="Joseph Burns Fund"/>
    <n v="2007.43"/>
    <n v="2000"/>
    <n v="0"/>
    <n v="38.270000000000003"/>
    <n v="-10.050000000000001"/>
    <n v="0"/>
    <n v="0"/>
    <n v="-68.33"/>
    <n v="0"/>
    <n v="0"/>
    <n v="3967.32"/>
    <m/>
    <n v="-30.059999999999995"/>
  </r>
  <r>
    <x v="0"/>
    <s v="42492"/>
    <s v="BERMAN14"/>
    <x v="1"/>
    <s v="Ronald and Marie Berman Philanthropic Fund"/>
    <n v="67763.94"/>
    <n v="161687.47"/>
    <n v="-160000"/>
    <n v="1780.84"/>
    <n v="-1111.67"/>
    <n v="0"/>
    <n v="-97.34"/>
    <n v="5879.87"/>
    <n v="-0.01"/>
    <n v="-97.350000000000009"/>
    <n v="75903.100000000006"/>
    <m/>
    <n v="7563.36"/>
  </r>
  <r>
    <x v="0"/>
    <s v="42491"/>
    <s v="BERGER10"/>
    <x v="1"/>
    <s v="Samuel S. and Regina Berger Charitable Fund"/>
    <n v="32486.28"/>
    <n v="0"/>
    <n v="0"/>
    <n v="793.25"/>
    <n v="-341.15"/>
    <n v="0"/>
    <n v="54.9"/>
    <n v="2717.58"/>
    <n v="0"/>
    <n v="54.9"/>
    <n v="35710.86"/>
    <m/>
    <n v="3565.73"/>
  </r>
  <r>
    <x v="0"/>
    <s v="42490"/>
    <s v="AXELRO4"/>
    <x v="1"/>
    <s v="Axelrod Family Fund"/>
    <n v="88162.32"/>
    <n v="0"/>
    <n v="-16900"/>
    <n v="2108.4499999999998"/>
    <n v="-881.73"/>
    <n v="0"/>
    <n v="2694.38"/>
    <n v="5016.0200000000004"/>
    <n v="-0.01"/>
    <n v="2694.37"/>
    <n v="80199.429999999993"/>
    <m/>
    <n v="9818.84"/>
  </r>
  <r>
    <x v="0"/>
    <s v="42489"/>
    <s v="APPLES1"/>
    <x v="1"/>
    <s v="Louis Applestein Memorial Fund"/>
    <n v="19714"/>
    <n v="0"/>
    <n v="0"/>
    <n v="356.06"/>
    <n v="-205.96"/>
    <n v="0"/>
    <n v="9.4600000000000009"/>
    <n v="1725.77"/>
    <n v="0"/>
    <n v="9.4600000000000009"/>
    <n v="21599.33"/>
    <m/>
    <n v="2091.29"/>
  </r>
  <r>
    <x v="0"/>
    <s v="42488"/>
    <s v="ANSHEN1"/>
    <x v="1"/>
    <s v="Rose Perlman Anshen and Harold Anshen Memorial Fund"/>
    <n v="26875.53"/>
    <n v="0"/>
    <n v="-250"/>
    <n v="472.55"/>
    <n v="-280.29000000000002"/>
    <n v="0"/>
    <n v="12.45"/>
    <n v="2265.12"/>
    <n v="0"/>
    <n v="12.45"/>
    <n v="29095.360000000001"/>
    <m/>
    <n v="2750.12"/>
  </r>
  <r>
    <x v="0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1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1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1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1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1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1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1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1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1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1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1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1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1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1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1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1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1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1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1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1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1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1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1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1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1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1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1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1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1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1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1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1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1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1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1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1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1"/>
    <s v="49564"/>
    <s v="JFCS3"/>
    <x v="0"/>
    <s v="JFCS of Greater Mercer County First LIFE &amp; LEGACY Endowment Fund"/>
    <n v="0"/>
    <n v="0"/>
    <n v="0"/>
    <n v="0"/>
    <n v="0"/>
    <n v="0"/>
    <n v="0"/>
    <n v="0"/>
    <n v="0"/>
    <n v="0"/>
    <n v="0"/>
    <m/>
    <n v="0"/>
  </r>
  <r>
    <x v="1"/>
    <s v="49536"/>
    <s v="CHADAS1"/>
    <x v="0"/>
    <s v="Or Chadash LIFE &amp; LEGACY Endowment Fund"/>
    <n v="0"/>
    <n v="0"/>
    <n v="0"/>
    <n v="0"/>
    <n v="0"/>
    <n v="0"/>
    <n v="0"/>
    <n v="0"/>
    <n v="0"/>
    <n v="0"/>
    <n v="0"/>
    <m/>
    <n v="0"/>
  </r>
  <r>
    <x v="1"/>
    <s v="49525"/>
    <s v="BETHCH1"/>
    <x v="0"/>
    <s v="Beth Chaim LIFE &amp; LEGACY Endowment Fund"/>
    <n v="0"/>
    <n v="0"/>
    <n v="0"/>
    <n v="0"/>
    <n v="0"/>
    <n v="0"/>
    <n v="0"/>
    <n v="0"/>
    <n v="0"/>
    <n v="0"/>
    <n v="0"/>
    <m/>
    <n v="0"/>
  </r>
  <r>
    <x v="1"/>
    <s v="49524"/>
    <s v="ADATH1"/>
    <x v="0"/>
    <s v="Adath Israel LIFE &amp; LEGACY Endowment Fund"/>
    <n v="0"/>
    <n v="0"/>
    <n v="0"/>
    <n v="0"/>
    <n v="0"/>
    <n v="0"/>
    <n v="0"/>
    <n v="0"/>
    <n v="0"/>
    <n v="0"/>
    <n v="0"/>
    <m/>
    <n v="0"/>
  </r>
  <r>
    <x v="1"/>
    <s v="49304"/>
    <s v="JEWISH28"/>
    <x v="0"/>
    <s v="Jewish Center of Princeton Endowment Fund"/>
    <n v="0"/>
    <n v="0"/>
    <n v="0"/>
    <n v="0"/>
    <n v="0"/>
    <n v="0"/>
    <n v="0"/>
    <n v="0"/>
    <n v="0"/>
    <n v="0"/>
    <n v="0"/>
    <m/>
    <n v="0"/>
  </r>
  <r>
    <x v="1"/>
    <s v="49253"/>
    <s v="DAVIDS14"/>
    <x v="1"/>
    <s v="The DADA Fund"/>
    <n v="0"/>
    <n v="0"/>
    <n v="0"/>
    <n v="0"/>
    <n v="0"/>
    <n v="0"/>
    <n v="0"/>
    <n v="0"/>
    <n v="0"/>
    <n v="0"/>
    <n v="0"/>
    <m/>
    <n v="0"/>
  </r>
  <r>
    <x v="1"/>
    <s v="49131"/>
    <s v="MICHAE8"/>
    <x v="1"/>
    <s v="Manning &amp; Hoffman-Manning Charitable Fund"/>
    <n v="0"/>
    <n v="0"/>
    <n v="0"/>
    <n v="0"/>
    <n v="0"/>
    <n v="0"/>
    <n v="0"/>
    <n v="0"/>
    <n v="0"/>
    <n v="0"/>
    <n v="0"/>
    <m/>
    <n v="0"/>
  </r>
  <r>
    <x v="1"/>
    <s v="48855"/>
    <s v="MEISEL2"/>
    <x v="1"/>
    <s v="Zachary, Ava &amp; Stella Kovner Meisel Tzedkah Fund"/>
    <n v="0"/>
    <n v="0"/>
    <n v="0"/>
    <n v="0"/>
    <n v="0"/>
    <n v="0"/>
    <n v="0"/>
    <n v="0"/>
    <n v="0"/>
    <n v="0"/>
    <n v="0"/>
    <m/>
    <n v="0"/>
  </r>
  <r>
    <x v="1"/>
    <s v="48533"/>
    <s v="SNOW3"/>
    <x v="1"/>
    <s v="Nagelberg Philanthropic Fund"/>
    <n v="0"/>
    <n v="0"/>
    <n v="0"/>
    <n v="0"/>
    <n v="0"/>
    <n v="0"/>
    <n v="0"/>
    <n v="0"/>
    <n v="0"/>
    <n v="0"/>
    <n v="0"/>
    <m/>
    <n v="0"/>
  </r>
  <r>
    <x v="1"/>
    <s v="48355"/>
    <s v="FREEMA17"/>
    <x v="1"/>
    <s v="Marsha &amp; Eliot Freeman Family Fund"/>
    <n v="0"/>
    <n v="0"/>
    <n v="0"/>
    <n v="0"/>
    <n v="0"/>
    <n v="0"/>
    <n v="0"/>
    <n v="0"/>
    <n v="0"/>
    <n v="0"/>
    <n v="0"/>
    <m/>
    <n v="0"/>
  </r>
  <r>
    <x v="1"/>
    <s v="48196"/>
    <s v="JEWISH27"/>
    <x v="3"/>
    <s v="Jewish Community Foundation of Greater Mercer LIFE &amp; LEGACY Endowment Fund"/>
    <n v="0"/>
    <n v="0"/>
    <n v="0"/>
    <n v="0"/>
    <n v="0"/>
    <n v="0"/>
    <n v="0"/>
    <n v="0"/>
    <n v="0"/>
    <n v="0"/>
    <n v="0"/>
    <m/>
    <n v="0"/>
  </r>
  <r>
    <x v="1"/>
    <s v="47872"/>
    <s v="WALDOR1"/>
    <x v="1"/>
    <s v="Berman-Waldorf Family Fund"/>
    <n v="0"/>
    <n v="0"/>
    <n v="0"/>
    <n v="0"/>
    <n v="0"/>
    <n v="0"/>
    <n v="0"/>
    <n v="0"/>
    <n v="0"/>
    <n v="0"/>
    <n v="0"/>
    <m/>
    <n v="0"/>
  </r>
  <r>
    <x v="1"/>
    <s v="47724"/>
    <s v="SNOW2"/>
    <x v="1"/>
    <s v="Snow - Nagelberg Philanthropic Fund"/>
    <n v="0"/>
    <n v="7000"/>
    <n v="0"/>
    <n v="18.47"/>
    <n v="0"/>
    <n v="0"/>
    <n v="0"/>
    <n v="-7.89"/>
    <n v="0"/>
    <n v="0"/>
    <n v="7010.58"/>
    <m/>
    <n v="10.579999999999998"/>
  </r>
  <r>
    <x v="1"/>
    <s v="47350"/>
    <s v="FELDMA18"/>
    <x v="1"/>
    <s v="Dena Feldman Fund for Tzedakah"/>
    <n v="0"/>
    <n v="2737"/>
    <n v="0"/>
    <n v="10.81"/>
    <n v="-37.5"/>
    <n v="0"/>
    <n v="0"/>
    <n v="53.79"/>
    <n v="0"/>
    <n v="0"/>
    <n v="2764.1"/>
    <m/>
    <n v="64.599999999999994"/>
  </r>
  <r>
    <x v="1"/>
    <s v="47349"/>
    <s v="FRAM1"/>
    <x v="1"/>
    <s v="Harvey &amp; Carine Fram Charitable Gift Fund"/>
    <n v="0"/>
    <n v="16500"/>
    <n v="0"/>
    <n v="96.71"/>
    <n v="-41.25"/>
    <n v="0"/>
    <n v="0"/>
    <n v="493.29"/>
    <n v="0"/>
    <n v="0"/>
    <n v="17048.75"/>
    <m/>
    <n v="590"/>
  </r>
  <r>
    <x v="1"/>
    <s v="46976"/>
    <s v="DAVIDS12"/>
    <x v="1"/>
    <s v="Davidson Philanthropic Fund"/>
    <n v="0"/>
    <n v="10000"/>
    <n v="0"/>
    <n v="107.68"/>
    <n v="-62.5"/>
    <n v="0"/>
    <n v="0.23"/>
    <n v="571.54999999999995"/>
    <n v="0"/>
    <n v="0.23"/>
    <n v="10616.96"/>
    <m/>
    <n v="679.46"/>
  </r>
  <r>
    <x v="1"/>
    <s v="46842"/>
    <s v="FELDST4"/>
    <x v="1"/>
    <s v="Lori and Michael Feldstein Fund"/>
    <n v="0"/>
    <n v="52421.59"/>
    <n v="-16100"/>
    <n v="307.63"/>
    <n v="-122.13"/>
    <n v="0"/>
    <n v="0.54"/>
    <n v="1303.6500000000001"/>
    <n v="0"/>
    <n v="0.54"/>
    <n v="37811.279999999999"/>
    <m/>
    <n v="1611.8200000000002"/>
  </r>
  <r>
    <x v="1"/>
    <s v="46751"/>
    <s v="SHAKUN2"/>
    <x v="2"/>
    <s v="Beth El's Future"/>
    <n v="0"/>
    <n v="100000"/>
    <n v="0"/>
    <n v="1707.21"/>
    <n v="-516.42999999999995"/>
    <n v="0"/>
    <n v="117.46"/>
    <n v="6899.44"/>
    <n v="0"/>
    <n v="117.46"/>
    <n v="108207.67999999999"/>
    <m/>
    <n v="8724.1099999999988"/>
  </r>
  <r>
    <x v="1"/>
    <s v="46630"/>
    <s v="KOHN7"/>
    <x v="0"/>
    <s v="The Richard M. Kohn Endowment Fund"/>
    <n v="0"/>
    <n v="463037.84"/>
    <n v="0"/>
    <n v="7832.84"/>
    <n v="-2369.4299999999998"/>
    <n v="0"/>
    <n v="597.34"/>
    <n v="27365.27"/>
    <n v="0"/>
    <n v="597.34"/>
    <n v="496463.86"/>
    <m/>
    <n v="35795.449999999997"/>
  </r>
  <r>
    <x v="1"/>
    <s v="45234"/>
    <s v="LEIBOW1"/>
    <x v="1"/>
    <s v="Donald S. Leibowitz and Karen Brodsky Philanthropic Fund"/>
    <n v="24003.19"/>
    <n v="7800"/>
    <n v="-5200"/>
    <n v="632.77"/>
    <n v="-267.7"/>
    <n v="0"/>
    <n v="166.1"/>
    <n v="3604.44"/>
    <n v="0"/>
    <n v="166.1"/>
    <n v="30738.799999999999"/>
    <m/>
    <n v="4403.3100000000004"/>
  </r>
  <r>
    <x v="1"/>
    <s v="44365"/>
    <s v="DIAMON3"/>
    <x v="1"/>
    <s v="Rabbi James S. Diamond Memorial Fund"/>
    <n v="6695.59"/>
    <n v="729"/>
    <n v="0"/>
    <n v="180.79"/>
    <n v="-92.94"/>
    <n v="0"/>
    <n v="47.52"/>
    <n v="1021.65"/>
    <n v="0"/>
    <n v="47.52"/>
    <n v="8581.61"/>
    <m/>
    <n v="1249.96"/>
  </r>
  <r>
    <x v="1"/>
    <s v="43836"/>
    <s v="ZLATIN1"/>
    <x v="1"/>
    <s v="Tikkun Olam Fund"/>
    <n v="6230.56"/>
    <n v="7633.59"/>
    <n v="-6340"/>
    <n v="184.31"/>
    <n v="-86.56"/>
    <n v="0"/>
    <n v="43.21"/>
    <n v="981.14"/>
    <n v="0"/>
    <n v="43.21"/>
    <n v="8646.25"/>
    <m/>
    <n v="1208.6600000000001"/>
  </r>
  <r>
    <x v="1"/>
    <s v="43834"/>
    <s v="GARBER7"/>
    <x v="1"/>
    <s v="Eileen and Robert Garber Family Fund"/>
    <n v="1976.54"/>
    <n v="2000"/>
    <n v="0"/>
    <n v="83.42"/>
    <n v="-58.16"/>
    <n v="0"/>
    <n v="16.260000000000002"/>
    <n v="409.99"/>
    <n v="0"/>
    <n v="16.260000000000002"/>
    <n v="4428.05"/>
    <m/>
    <n v="509.67"/>
  </r>
  <r>
    <x v="1"/>
    <s v="42917"/>
    <s v="UJFPMB5"/>
    <x v="0"/>
    <s v="UJFPMB Kravitz"/>
    <n v="105935.6"/>
    <n v="0"/>
    <n v="-5178"/>
    <n v="2507.1799999999998"/>
    <n v="-1090.1199999999999"/>
    <n v="0"/>
    <n v="723.94"/>
    <n v="14554.18"/>
    <n v="0"/>
    <n v="723.94"/>
    <n v="117452.78"/>
    <m/>
    <n v="17785.3"/>
  </r>
  <r>
    <x v="1"/>
    <s v="42559"/>
    <s v="PUNIA1"/>
    <x v="3"/>
    <s v="Renee Punia Fund"/>
    <n v="110112.39"/>
    <n v="0"/>
    <n v="-5385"/>
    <n v="2606.0100000000002"/>
    <n v="-1133.08"/>
    <n v="0"/>
    <n v="752.48"/>
    <n v="15127.66"/>
    <n v="0"/>
    <n v="752.48"/>
    <n v="122080.46"/>
    <m/>
    <n v="18486.149999999998"/>
  </r>
  <r>
    <x v="1"/>
    <s v="42558"/>
    <s v="KEHILL1"/>
    <x v="3"/>
    <s v="The Kehillah Fund"/>
    <n v="65717.36"/>
    <n v="108"/>
    <n v="0"/>
    <n v="1643.12"/>
    <n v="0"/>
    <n v="0"/>
    <n v="455.09"/>
    <n v="9412.58"/>
    <n v="0"/>
    <n v="455.09"/>
    <n v="77336.149999999994"/>
    <m/>
    <n v="11510.79"/>
  </r>
  <r>
    <x v="1"/>
    <s v="42557"/>
    <s v="FIF1"/>
    <x v="3"/>
    <s v="Foundation Investment Fund"/>
    <n v="139317.56"/>
    <n v="0"/>
    <n v="-60000"/>
    <n v="2757.58"/>
    <n v="0"/>
    <n v="0"/>
    <n v="919.46"/>
    <n v="17522.22"/>
    <n v="0"/>
    <n v="919.46"/>
    <n v="100516.82"/>
    <m/>
    <n v="21199.260000000002"/>
  </r>
  <r>
    <x v="1"/>
    <s v="42555"/>
    <s v="UJFPMB4"/>
    <x v="0"/>
    <s v="UJFPMB Julius and Dorothy Koppelman Designated Fund"/>
    <n v="591006.71999999997"/>
    <n v="0"/>
    <n v="-65000"/>
    <n v="13554.92"/>
    <n v="-5732.08"/>
    <n v="0"/>
    <n v="4003.18"/>
    <n v="80082.53"/>
    <n v="0"/>
    <n v="4003.18"/>
    <n v="617915.27"/>
    <m/>
    <n v="97640.62999999999"/>
  </r>
  <r>
    <x v="1"/>
    <s v="42554"/>
    <s v="UJFPMB3"/>
    <x v="0"/>
    <s v="UJFPMB Shirley Kobak Lion of Judah Endowment Fund"/>
    <n v="87450.03"/>
    <n v="0"/>
    <n v="-4276"/>
    <n v="2069.6799999999998"/>
    <n v="-899.89"/>
    <n v="0"/>
    <n v="597.63"/>
    <n v="12014.35"/>
    <n v="0"/>
    <n v="597.63"/>
    <n v="96955.8"/>
    <m/>
    <n v="14681.66"/>
  </r>
  <r>
    <x v="1"/>
    <s v="42553"/>
    <s v="UJFPMB2"/>
    <x v="0"/>
    <s v="UJFPMB Estates Fund"/>
    <n v="41482.97"/>
    <n v="0"/>
    <n v="0"/>
    <n v="1029.75"/>
    <n v="-442.84"/>
    <n v="0"/>
    <n v="286.87"/>
    <n v="5908.22"/>
    <n v="0"/>
    <n v="286.87"/>
    <n v="48264.97"/>
    <m/>
    <n v="7224.84"/>
  </r>
  <r>
    <x v="1"/>
    <s v="42552"/>
    <s v="SRF1"/>
    <x v="0"/>
    <s v="Soviet Resettlement Fund"/>
    <n v="768.17"/>
    <n v="0"/>
    <n v="0"/>
    <n v="19.149999999999999"/>
    <n v="0"/>
    <n v="0"/>
    <n v="5.32"/>
    <n v="109.89"/>
    <n v="0"/>
    <n v="5.32"/>
    <n v="902.53"/>
    <m/>
    <n v="134.35999999999999"/>
  </r>
  <r>
    <x v="1"/>
    <s v="42551"/>
    <s v="PACK1"/>
    <x v="0"/>
    <s v="JFCS Pack Scholarship Fund"/>
    <n v="17739.05"/>
    <n v="0"/>
    <n v="-692"/>
    <n v="423.96"/>
    <n v="-183.92"/>
    <n v="0"/>
    <n v="121.53"/>
    <n v="2455.15"/>
    <n v="0"/>
    <n v="121.53"/>
    <n v="19863.77"/>
    <m/>
    <n v="3000.6400000000003"/>
  </r>
  <r>
    <x v="1"/>
    <s v="42550"/>
    <s v="AHALF1"/>
    <x v="0"/>
    <s v="AHA Sandy Light Fund"/>
    <n v="19129.2"/>
    <n v="994"/>
    <n v="-743"/>
    <n v="460.03"/>
    <n v="-199.57"/>
    <n v="0"/>
    <n v="131.1"/>
    <n v="2657.26"/>
    <n v="0"/>
    <n v="131.1"/>
    <n v="22429.02"/>
    <m/>
    <n v="3248.39"/>
  </r>
  <r>
    <x v="1"/>
    <s v="42549"/>
    <s v="SILK1"/>
    <x v="1"/>
    <s v="Allen and Judith Silk Philanthropic Fund"/>
    <n v="23526.21"/>
    <n v="0"/>
    <n v="-8300"/>
    <n v="529.37"/>
    <n v="-240.46"/>
    <n v="0"/>
    <n v="155.80000000000001"/>
    <n v="3138.93"/>
    <n v="0"/>
    <n v="155.80000000000001"/>
    <n v="18809.849999999999"/>
    <m/>
    <n v="3824.1"/>
  </r>
  <r>
    <x v="1"/>
    <s v="42548"/>
    <s v="ROJER2"/>
    <x v="2"/>
    <s v="Goldie B. Rojer Hunger Relief Fund"/>
    <n v="50205.1"/>
    <n v="0"/>
    <n v="-1965"/>
    <n v="1199.8"/>
    <n v="-520.48"/>
    <n v="0"/>
    <n v="343.93"/>
    <n v="6947.93"/>
    <n v="0"/>
    <n v="343.93"/>
    <n v="56211.28"/>
    <m/>
    <n v="8491.66"/>
  </r>
  <r>
    <x v="1"/>
    <s v="42547"/>
    <s v="BERKOW5"/>
    <x v="2"/>
    <s v="Anne and Bernard Berkowitz Legacy Fund"/>
    <n v="11894.93"/>
    <n v="0"/>
    <n v="-580"/>
    <n v="281.5"/>
    <n v="-128.18"/>
    <n v="0"/>
    <n v="81.28"/>
    <n v="1634.23"/>
    <n v="0"/>
    <n v="81.28"/>
    <n v="13183.76"/>
    <m/>
    <n v="1997.01"/>
  </r>
  <r>
    <x v="1"/>
    <s v="42546"/>
    <s v="YSF1"/>
    <x v="4"/>
    <s v="Youth Scholarship Fund"/>
    <n v="4567.6099999999997"/>
    <n v="0"/>
    <n v="0"/>
    <n v="114.08"/>
    <n v="0"/>
    <n v="0"/>
    <n v="31.63"/>
    <n v="653.63"/>
    <n v="0"/>
    <n v="31.63"/>
    <n v="5366.95"/>
    <m/>
    <n v="799.34"/>
  </r>
  <r>
    <x v="1"/>
    <s v="42545"/>
    <s v="WOLLIN1"/>
    <x v="4"/>
    <s v="Wollin Scholarship Fund"/>
    <n v="33270.480000000003"/>
    <n v="0"/>
    <n v="-5000"/>
    <n v="711.76"/>
    <n v="-315.81"/>
    <n v="0"/>
    <n v="223.35"/>
    <n v="4219.21"/>
    <n v="0"/>
    <n v="223.35"/>
    <n v="33108.99"/>
    <m/>
    <n v="5154.3200000000006"/>
  </r>
  <r>
    <x v="1"/>
    <s v="42544"/>
    <s v="UJFPMB1"/>
    <x v="4"/>
    <s v="UJFPMB Income Fund"/>
    <n v="10131.56"/>
    <n v="0"/>
    <n v="-395"/>
    <n v="242.1"/>
    <n v="-115.25"/>
    <n v="0"/>
    <n v="69.400000000000006"/>
    <n v="1401.91"/>
    <n v="0"/>
    <n v="69.400000000000006"/>
    <n v="11334.72"/>
    <m/>
    <n v="1713.41"/>
  </r>
  <r>
    <x v="1"/>
    <s v="42543"/>
    <s v="SIF1"/>
    <x v="4"/>
    <s v="Scholarship Investment Fund"/>
    <n v="24499.040000000001"/>
    <n v="0"/>
    <n v="-943"/>
    <n v="586.27"/>
    <n v="-254.1"/>
    <n v="0"/>
    <n v="168.14"/>
    <n v="3390.1"/>
    <n v="0"/>
    <n v="168.14"/>
    <n v="27446.45"/>
    <m/>
    <n v="4144.51"/>
  </r>
  <r>
    <x v="1"/>
    <s v="42542"/>
    <s v="OFFNER1"/>
    <x v="2"/>
    <s v="Offner JFCS Senior Services Fund"/>
    <n v="15126.15"/>
    <n v="0"/>
    <n v="-590"/>
    <n v="361.58"/>
    <n v="-156.84"/>
    <n v="0"/>
    <n v="103.62"/>
    <n v="2093.5300000000002"/>
    <n v="0"/>
    <n v="103.62"/>
    <n v="16938.04"/>
    <m/>
    <n v="2558.73"/>
  </r>
  <r>
    <x v="1"/>
    <s v="42541"/>
    <s v="KLATZK2"/>
    <x v="4"/>
    <s v="Clive B. Klatzkin PACE Designated Fund"/>
    <n v="40016.85"/>
    <n v="0"/>
    <n v="0"/>
    <n v="993.41"/>
    <n v="-427.19"/>
    <n v="0"/>
    <n v="276.75"/>
    <n v="5699.38"/>
    <n v="0"/>
    <n v="276.75"/>
    <n v="46559.199999999997"/>
    <m/>
    <n v="6969.54"/>
  </r>
  <r>
    <x v="1"/>
    <s v="42540"/>
    <s v="KELSEY2"/>
    <x v="4"/>
    <s v="Harold H. Kelsey Greenwood House Fund"/>
    <n v="106440.58"/>
    <n v="0"/>
    <n v="-9276"/>
    <n v="2422.7800000000002"/>
    <n v="-1063.23"/>
    <n v="0"/>
    <n v="720.56"/>
    <n v="14203.71"/>
    <n v="0"/>
    <n v="720.56"/>
    <n v="113448.4"/>
    <m/>
    <n v="17347.05"/>
  </r>
  <r>
    <x v="1"/>
    <s v="42539"/>
    <s v="KAHN7"/>
    <x v="4"/>
    <s v="Albert B. Kahn Scholarship Fund"/>
    <n v="129856.45"/>
    <n v="0"/>
    <n v="-5012"/>
    <n v="3107.27"/>
    <n v="-1346.74"/>
    <n v="0"/>
    <n v="891.28"/>
    <n v="17968.57"/>
    <n v="0"/>
    <n v="891.28"/>
    <n v="145464.82999999999"/>
    <m/>
    <n v="21967.119999999999"/>
  </r>
  <r>
    <x v="1"/>
    <s v="42537"/>
    <s v="GHIF1"/>
    <x v="4"/>
    <s v="Greenwood House Income Fund"/>
    <n v="10634.71"/>
    <n v="0"/>
    <n v="-414"/>
    <n v="254.14"/>
    <n v="-119.11"/>
    <n v="0"/>
    <n v="72.84"/>
    <n v="1471.72"/>
    <n v="0"/>
    <n v="72.84"/>
    <n v="11900.3"/>
    <m/>
    <n v="1798.7"/>
  </r>
  <r>
    <x v="1"/>
    <s v="42536"/>
    <s v="GLAZER2"/>
    <x v="4"/>
    <s v="Henry and Geralyn Glazer Greenwood House Scholarship Fund"/>
    <n v="34584.78"/>
    <n v="0"/>
    <n v="-1300"/>
    <n v="835.92"/>
    <n v="-362.55"/>
    <n v="0"/>
    <n v="237.5"/>
    <n v="4851.91"/>
    <n v="0"/>
    <n v="237.5"/>
    <n v="38847.56"/>
    <m/>
    <n v="5925.33"/>
  </r>
  <r>
    <x v="1"/>
    <s v="42535"/>
    <s v="GARB3"/>
    <x v="4"/>
    <s v="Benjamin Garb Scholarship Fund"/>
    <n v="34920.22"/>
    <n v="0"/>
    <n v="-1345"/>
    <n v="835.66"/>
    <n v="-362.18"/>
    <n v="0"/>
    <n v="239.69"/>
    <n v="4831.93"/>
    <n v="0"/>
    <n v="239.69"/>
    <n v="39120.32"/>
    <m/>
    <n v="5907.28"/>
  </r>
  <r>
    <x v="1"/>
    <s v="42534"/>
    <s v="EDINIT1"/>
    <x v="4"/>
    <s v="Educational Initiative Fund"/>
    <n v="40017.31"/>
    <n v="20000"/>
    <n v="-1566"/>
    <n v="1040.8"/>
    <n v="-414.86"/>
    <n v="0"/>
    <n v="274.12"/>
    <n v="5567.56"/>
    <n v="0"/>
    <n v="274.12"/>
    <n v="64918.93"/>
    <m/>
    <n v="6882.4800000000005"/>
  </r>
  <r>
    <x v="1"/>
    <s v="42533"/>
    <s v="DENBO4"/>
    <x v="4"/>
    <s v="Alexander &amp; Syble G. Denbo Penn State/Dickinson School of Law Fund"/>
    <n v="217149.74"/>
    <n v="0"/>
    <n v="-18923"/>
    <n v="4944.0200000000004"/>
    <n v="-2166.59"/>
    <n v="0"/>
    <n v="1472.99"/>
    <n v="28611.360000000001"/>
    <n v="0"/>
    <n v="1472.99"/>
    <n v="231088.52"/>
    <m/>
    <n v="35028.370000000003"/>
  </r>
  <r>
    <x v="1"/>
    <s v="42532"/>
    <s v="DENBO3"/>
    <x v="2"/>
    <s v="Alexander &amp; Syble G. Denbo JFCS Fund"/>
    <n v="1427612.15"/>
    <n v="0"/>
    <n v="-84322.89"/>
    <n v="33823.980000000003"/>
    <n v="-13547.53"/>
    <n v="0"/>
    <n v="9778.19"/>
    <n v="196034.6"/>
    <n v="0"/>
    <n v="9778.19"/>
    <n v="1569378.5"/>
    <m/>
    <n v="239636.77000000002"/>
  </r>
  <r>
    <x v="1"/>
    <s v="42531"/>
    <s v="DENBO2"/>
    <x v="2"/>
    <s v="Alexander &amp; Syble G. Denbo Greenwood House Fund"/>
    <n v="1252134.1399999999"/>
    <n v="0"/>
    <n v="-110855.54"/>
    <n v="28788.52"/>
    <n v="-11970.86"/>
    <n v="0"/>
    <n v="8514.93"/>
    <n v="168116.78"/>
    <n v="0"/>
    <n v="8514.93"/>
    <n v="1334727.97"/>
    <m/>
    <n v="205420.22999999998"/>
  </r>
  <r>
    <x v="1"/>
    <s v="42530"/>
    <s v="DENBO1"/>
    <x v="4"/>
    <s v="Alexander Denbo School Fund"/>
    <n v="20170.29"/>
    <n v="0"/>
    <n v="-802"/>
    <n v="492.45"/>
    <n v="-213.27"/>
    <n v="0"/>
    <n v="139.47"/>
    <n v="2827.5"/>
    <n v="0"/>
    <n v="139.47"/>
    <n v="22614.44"/>
    <m/>
    <n v="3459.4199999999996"/>
  </r>
  <r>
    <x v="1"/>
    <s v="42529"/>
    <s v="AHAPIF1"/>
    <x v="4"/>
    <s v="AHA Pooled Special Funds"/>
    <n v="2142.61"/>
    <n v="0"/>
    <n v="0"/>
    <n v="53.53"/>
    <n v="0"/>
    <n v="0"/>
    <n v="14.84"/>
    <n v="306.61"/>
    <n v="0"/>
    <n v="14.84"/>
    <n v="2517.59"/>
    <m/>
    <n v="374.97999999999996"/>
  </r>
  <r>
    <x v="1"/>
    <s v="42528"/>
    <s v="ZELTT1"/>
    <x v="1"/>
    <s v="Harold &amp; Marilyn Zeltt Charitable Fund"/>
    <n v="26771.279999999999"/>
    <n v="0"/>
    <n v="-6250"/>
    <n v="545.34"/>
    <n v="-237.77"/>
    <n v="0"/>
    <n v="176.81"/>
    <n v="3224.23"/>
    <n v="0"/>
    <n v="176.81"/>
    <n v="24229.89"/>
    <m/>
    <n v="3946.38"/>
  </r>
  <r>
    <x v="1"/>
    <s v="42527"/>
    <s v="WISOTS1"/>
    <x v="1"/>
    <s v="Wisotsky Family Philanthropic Fund"/>
    <n v="5899.74"/>
    <n v="0"/>
    <n v="-3800"/>
    <n v="78.77"/>
    <n v="-74.3"/>
    <n v="0"/>
    <n v="35.89"/>
    <n v="607.55999999999995"/>
    <n v="0"/>
    <n v="35.89"/>
    <n v="2747.66"/>
    <m/>
    <n v="722.21999999999991"/>
  </r>
  <r>
    <x v="1"/>
    <s v="42525"/>
    <s v="URKEN1"/>
    <x v="1"/>
    <s v="Ernestine and Karl Urken Philanthropic Fund"/>
    <n v="12491.43"/>
    <n v="0"/>
    <n v="500"/>
    <n v="314.19"/>
    <n v="-135.88"/>
    <n v="0"/>
    <n v="86.39"/>
    <n v="1778.3"/>
    <n v="0"/>
    <n v="86.39"/>
    <n v="15034.43"/>
    <m/>
    <n v="2178.8799999999997"/>
  </r>
  <r>
    <x v="1"/>
    <s v="42524"/>
    <s v="SUCHAR1"/>
    <x v="1"/>
    <s v="Sucharow Family Charitable Fund"/>
    <n v="478630.29"/>
    <n v="300000"/>
    <n v="-132000"/>
    <n v="15163.63"/>
    <n v="-6159.41"/>
    <n v="0"/>
    <n v="3607.8"/>
    <n v="81123.86"/>
    <n v="0"/>
    <n v="3607.8"/>
    <n v="740366.17"/>
    <m/>
    <n v="99895.290000000008"/>
  </r>
  <r>
    <x v="1"/>
    <s v="42523"/>
    <s v="STIX1"/>
    <x v="1"/>
    <s v="Stix Charitable Fund"/>
    <n v="171681.5"/>
    <n v="0"/>
    <n v="0"/>
    <n v="4261.7700000000004"/>
    <n v="-1832.73"/>
    <n v="0"/>
    <n v="1187.28"/>
    <n v="24451.8"/>
    <n v="0"/>
    <n v="1187.28"/>
    <n v="199749.62"/>
    <m/>
    <n v="29900.85"/>
  </r>
  <r>
    <x v="1"/>
    <s v="42522"/>
    <s v="SMUKLE3"/>
    <x v="1"/>
    <s v="Smukler Fund"/>
    <n v="935886.3"/>
    <n v="0"/>
    <n v="-90000"/>
    <n v="21600.77"/>
    <n v="-9527.75"/>
    <n v="0"/>
    <n v="6355.52"/>
    <n v="127568.11"/>
    <n v="0"/>
    <n v="6355.52"/>
    <n v="991882.95"/>
    <m/>
    <n v="155524.4"/>
  </r>
  <r>
    <x v="1"/>
    <s v="42520"/>
    <s v="SHECHT5"/>
    <x v="1"/>
    <s v="Shechtel Children's Fund"/>
    <n v="6218.31"/>
    <n v="0"/>
    <n v="0"/>
    <n v="154.28"/>
    <n v="-86.48"/>
    <n v="0"/>
    <n v="43"/>
    <n v="884.91"/>
    <n v="0"/>
    <n v="43"/>
    <n v="7214.02"/>
    <m/>
    <n v="1082.19"/>
  </r>
  <r>
    <x v="1"/>
    <s v="42519"/>
    <s v="SCHWAR33"/>
    <x v="1"/>
    <s v="Judith &amp; Martin Schwartz Family Charitable Trust"/>
    <n v="98504.58"/>
    <n v="17401.419999999998"/>
    <n v="-19650"/>
    <n v="2454.3000000000002"/>
    <n v="-1060.0899999999999"/>
    <n v="0"/>
    <n v="684.39"/>
    <n v="14122.5"/>
    <n v="0"/>
    <n v="684.39"/>
    <n v="112457.1"/>
    <m/>
    <n v="17261.189999999999"/>
  </r>
  <r>
    <x v="1"/>
    <s v="42518"/>
    <s v="SCHNUR3"/>
    <x v="1"/>
    <s v="Schnur Family Philanthropic Fund"/>
    <n v="150426.29"/>
    <n v="0"/>
    <n v="-28000"/>
    <n v="3407.71"/>
    <n v="-1525.35"/>
    <n v="0"/>
    <n v="1019.16"/>
    <n v="19785.330000000002"/>
    <n v="0"/>
    <n v="1019.16"/>
    <n v="145113.14000000001"/>
    <m/>
    <n v="24212.2"/>
  </r>
  <r>
    <x v="1"/>
    <s v="42516"/>
    <s v="SHAKUN1"/>
    <x v="1"/>
    <s v="Shakun &amp; Devery Family Fund"/>
    <n v="19250"/>
    <n v="0"/>
    <n v="-6000"/>
    <n v="443.11"/>
    <n v="-205.51"/>
    <n v="0"/>
    <n v="133.13"/>
    <n v="2425.87"/>
    <n v="0"/>
    <n v="133.13"/>
    <n v="16046.6"/>
    <m/>
    <n v="3002.11"/>
  </r>
  <r>
    <x v="1"/>
    <s v="42515"/>
    <s v="SCHAEF7"/>
    <x v="1"/>
    <s v="Schaefer Family Philanthropic Fund"/>
    <n v="75511.23"/>
    <n v="15000"/>
    <n v="-21454"/>
    <n v="1631.5"/>
    <n v="-712.07"/>
    <n v="0"/>
    <n v="500.6"/>
    <n v="9638.5300000000007"/>
    <n v="0"/>
    <n v="500.6"/>
    <n v="80115.789999999994"/>
    <m/>
    <n v="11770.630000000001"/>
  </r>
  <r>
    <x v="1"/>
    <s v="42514"/>
    <s v="KOHN6"/>
    <x v="2"/>
    <s v="RMK PACE Fund"/>
    <n v="90021.26"/>
    <n v="0"/>
    <n v="0"/>
    <n v="2234.65"/>
    <n v="-960.98"/>
    <n v="0"/>
    <n v="622.55999999999995"/>
    <n v="12821.31"/>
    <n v="0"/>
    <n v="622.55999999999995"/>
    <n v="104738.8"/>
    <m/>
    <n v="15678.519999999999"/>
  </r>
  <r>
    <x v="1"/>
    <s v="42513"/>
    <s v="PIMLEY1"/>
    <x v="1"/>
    <s v="Oliver Jenson Pimley Tzedakah Fund"/>
    <n v="7241.89"/>
    <n v="0"/>
    <n v="0"/>
    <n v="179.69"/>
    <n v="-94.53"/>
    <n v="0"/>
    <n v="50.09"/>
    <n v="1030.68"/>
    <n v="0"/>
    <n v="50.09"/>
    <n v="8407.82"/>
    <m/>
    <n v="1260.46"/>
  </r>
  <r>
    <x v="1"/>
    <s v="42512"/>
    <s v="PERLMA8"/>
    <x v="1"/>
    <s v="Bonnie and Richard Perlman Philanthropic Fund"/>
    <n v="10096.280000000001"/>
    <n v="14958.33"/>
    <n v="-8850"/>
    <n v="437.61"/>
    <n v="-174.74"/>
    <n v="0"/>
    <n v="86.7"/>
    <n v="1961.65"/>
    <n v="0"/>
    <n v="86.7"/>
    <n v="18515.830000000002"/>
    <m/>
    <n v="2485.96"/>
  </r>
  <r>
    <x v="1"/>
    <s v="42511"/>
    <s v="PERLMA7"/>
    <x v="1"/>
    <s v="B. Perlman Family Charitable Fund"/>
    <n v="12383.27"/>
    <n v="13000"/>
    <n v="-14000"/>
    <n v="276.73"/>
    <n v="-125.41"/>
    <n v="0"/>
    <n v="85.35"/>
    <n v="1614.97"/>
    <n v="0"/>
    <n v="85.35"/>
    <n v="13234.91"/>
    <m/>
    <n v="1977.05"/>
  </r>
  <r>
    <x v="1"/>
    <s v="42510"/>
    <s v="NEUMAN3"/>
    <x v="1"/>
    <s v="Jerry Neumann &amp; Naomi Richman Philanthropic Fund"/>
    <n v="27902.04"/>
    <n v="18848.509999999998"/>
    <n v="-3800"/>
    <n v="829.38"/>
    <n v="-373.52"/>
    <n v="0"/>
    <n v="188.46"/>
    <n v="4767.2700000000004"/>
    <n v="0"/>
    <n v="188.46"/>
    <n v="48362.14"/>
    <m/>
    <n v="5785.1100000000006"/>
  </r>
  <r>
    <x v="1"/>
    <s v="42509"/>
    <s v="MILLER147"/>
    <x v="1"/>
    <s v="Sue Ellen and David H. Miller Family Charitable Fund"/>
    <n v="12507.18"/>
    <n v="0"/>
    <n v="0"/>
    <n v="310.43"/>
    <n v="-136"/>
    <n v="0"/>
    <n v="86.49"/>
    <n v="1781.17"/>
    <n v="0"/>
    <n v="86.49"/>
    <n v="14549.27"/>
    <m/>
    <n v="2178.0899999999997"/>
  </r>
  <r>
    <x v="1"/>
    <s v="42508"/>
    <s v="KLATZK1"/>
    <x v="1"/>
    <s v="Clive and Audrey Klatzkin Family Philanthropic Fund"/>
    <n v="63313.62"/>
    <n v="0"/>
    <n v="-12000"/>
    <n v="1460.49"/>
    <n v="-645.67999999999995"/>
    <n v="0"/>
    <n v="437.57"/>
    <n v="8550.2199999999993"/>
    <n v="0"/>
    <n v="437.57"/>
    <n v="61116.22"/>
    <m/>
    <n v="10448.279999999999"/>
  </r>
  <r>
    <x v="1"/>
    <s v="42507"/>
    <s v="KALISH2"/>
    <x v="1"/>
    <s v="Peggy and Errol Kalish Philanthropic Fund"/>
    <n v="63284.959999999999"/>
    <n v="0"/>
    <n v="0"/>
    <n v="1571.01"/>
    <n v="-675.58"/>
    <n v="0"/>
    <n v="437.66"/>
    <n v="9013.3700000000008"/>
    <n v="0"/>
    <n v="437.66"/>
    <n v="73631.42"/>
    <m/>
    <n v="11022.04"/>
  </r>
  <r>
    <x v="1"/>
    <s v="42506"/>
    <s v="KAHN6"/>
    <x v="1"/>
    <s v="Kahn Family Philanthropic Fund"/>
    <n v="8501.16"/>
    <n v="0"/>
    <n v="0"/>
    <n v="210.94"/>
    <n v="-104.44"/>
    <n v="0"/>
    <n v="58.79"/>
    <n v="1210.22"/>
    <n v="0"/>
    <n v="58.79"/>
    <n v="9876.67"/>
    <m/>
    <n v="1479.95"/>
  </r>
  <r>
    <x v="1"/>
    <s v="42505"/>
    <s v="HARRIS51"/>
    <x v="1"/>
    <s v="Sara Jane and Morris Harris Philanthropic Fund"/>
    <n v="79136.75"/>
    <n v="0"/>
    <n v="0"/>
    <n v="1964.47"/>
    <n v="-844.8"/>
    <n v="0"/>
    <n v="547.27"/>
    <n v="11271.07"/>
    <n v="0"/>
    <n v="547.27"/>
    <n v="92074.76"/>
    <m/>
    <n v="13782.81"/>
  </r>
  <r>
    <x v="1"/>
    <s v="42504"/>
    <s v="GOODMA11"/>
    <x v="1"/>
    <s v="Goodman Family Philanthropic Fund"/>
    <n v="29243.72"/>
    <n v="0"/>
    <n v="0"/>
    <n v="725.97"/>
    <n v="-312.19"/>
    <n v="0"/>
    <n v="202.24"/>
    <n v="4165.05"/>
    <n v="0"/>
    <n v="202.24"/>
    <n v="34024.79"/>
    <m/>
    <n v="5093.26"/>
  </r>
  <r>
    <x v="1"/>
    <s v="42503"/>
    <s v="GOLDMA21"/>
    <x v="1"/>
    <s v="Debby and Peter Goldman Fund"/>
    <n v="147667.21"/>
    <n v="0"/>
    <n v="0"/>
    <n v="3665.68"/>
    <n v="-1576.37"/>
    <n v="0"/>
    <n v="1021.22"/>
    <n v="21031.51"/>
    <n v="0"/>
    <n v="1021.22"/>
    <n v="171809.25"/>
    <m/>
    <n v="25718.41"/>
  </r>
  <r>
    <x v="1"/>
    <s v="42502"/>
    <s v="GLAZER1"/>
    <x v="1"/>
    <s v="Richard M. Glazer Philanthropic Fund"/>
    <n v="14554.37"/>
    <n v="8479.4500000000007"/>
    <n v="-1600"/>
    <n v="350.6"/>
    <n v="-152.27000000000001"/>
    <n v="0"/>
    <n v="99.87"/>
    <n v="2026.55"/>
    <n v="0"/>
    <n v="99.87"/>
    <n v="23758.57"/>
    <m/>
    <n v="2477.02"/>
  </r>
  <r>
    <x v="1"/>
    <s v="42499"/>
    <s v="FELDMA13"/>
    <x v="1"/>
    <s v="Talia Feldman Fund for Tzedakah"/>
    <n v="20083.16"/>
    <n v="0"/>
    <n v="-4600"/>
    <n v="452.61"/>
    <n v="-205.94"/>
    <n v="0"/>
    <n v="136.74"/>
    <n v="2620.5700000000002"/>
    <n v="0"/>
    <n v="136.74"/>
    <n v="18487.14"/>
    <m/>
    <n v="3209.92"/>
  </r>
  <r>
    <x v="1"/>
    <s v="42498"/>
    <s v="FANNIN3"/>
    <x v="1"/>
    <s v="Lillian and Arthur Fanning Memorial Fund"/>
    <n v="58469.38"/>
    <n v="0"/>
    <n v="-3600"/>
    <n v="1388.87"/>
    <n v="-605.77"/>
    <n v="0"/>
    <n v="399.72"/>
    <n v="8123.47"/>
    <n v="0"/>
    <n v="399.72"/>
    <n v="64175.67"/>
    <m/>
    <n v="9912.06"/>
  </r>
  <r>
    <x v="1"/>
    <s v="42497"/>
    <s v="FAMILA1"/>
    <x v="1"/>
    <s v="Rosalind &quot;Mimi&quot; and Aaron &quot;Poppy&quot; Familant Fund"/>
    <n v="24849.05"/>
    <n v="0"/>
    <n v="-10000"/>
    <n v="466.18"/>
    <n v="-215.12"/>
    <n v="0"/>
    <n v="160.44"/>
    <n v="3145.55"/>
    <n v="0"/>
    <n v="160.44"/>
    <n v="18406.099999999999"/>
    <m/>
    <n v="3772.17"/>
  </r>
  <r>
    <x v="1"/>
    <s v="42496"/>
    <s v="ENTIN1"/>
    <x v="1"/>
    <s v="Sadie and Leon Entin Memorial Fund"/>
    <n v="10865.18"/>
    <n v="0"/>
    <n v="-750"/>
    <n v="259.43"/>
    <n v="-121.78"/>
    <n v="0"/>
    <n v="74.48"/>
    <n v="1509.54"/>
    <n v="0"/>
    <n v="74.48"/>
    <n v="11836.85"/>
    <m/>
    <n v="1843.45"/>
  </r>
  <r>
    <x v="1"/>
    <s v="42495"/>
    <s v="EGGER2"/>
    <x v="1"/>
    <s v="Audrey and David Egger Charitable Fund"/>
    <n v="14421.98"/>
    <n v="49859.13"/>
    <n v="-24000"/>
    <n v="995.28"/>
    <n v="-458.68"/>
    <n v="0"/>
    <n v="145.51"/>
    <n v="5369.25"/>
    <n v="0"/>
    <n v="145.51"/>
    <n v="46332.47"/>
    <m/>
    <n v="6510.04"/>
  </r>
  <r>
    <x v="1"/>
    <s v="42494"/>
    <s v="COHEN57"/>
    <x v="1"/>
    <s v="Janet and Howard Cohen Philanthropic Fund"/>
    <n v="42387.7"/>
    <n v="0"/>
    <n v="-500"/>
    <n v="1051.97"/>
    <n v="-452.49"/>
    <n v="0"/>
    <n v="293.14"/>
    <n v="6035.54"/>
    <n v="0"/>
    <n v="293.14"/>
    <n v="48815.86"/>
    <m/>
    <n v="7380.6500000000005"/>
  </r>
  <r>
    <x v="1"/>
    <s v="42493"/>
    <s v="BURNS15"/>
    <x v="1"/>
    <s v="Joseph Burns Fund"/>
    <n v="3967.32"/>
    <n v="3000"/>
    <n v="0"/>
    <n v="143.11000000000001"/>
    <n v="-76.319999999999993"/>
    <n v="0"/>
    <n v="30.06"/>
    <n v="740.18"/>
    <n v="0"/>
    <n v="30.06"/>
    <n v="7804.35"/>
    <m/>
    <n v="913.34999999999991"/>
  </r>
  <r>
    <x v="1"/>
    <s v="42492"/>
    <s v="BERMAN14"/>
    <x v="1"/>
    <s v="Ronald and Marie Berman Philanthropic Fund"/>
    <n v="75903.100000000006"/>
    <n v="0"/>
    <n v="-52500"/>
    <n v="1631.59"/>
    <n v="-810.28"/>
    <n v="0"/>
    <n v="524.91999999999996"/>
    <n v="9201.2199999999993"/>
    <n v="0"/>
    <n v="524.91999999999996"/>
    <n v="33950.550000000003"/>
    <m/>
    <n v="11357.73"/>
  </r>
  <r>
    <x v="1"/>
    <s v="42491"/>
    <s v="BERGER10"/>
    <x v="1"/>
    <s v="Samuel S. and Regina Berger Charitable Fund"/>
    <n v="35710.86"/>
    <n v="0"/>
    <n v="0"/>
    <n v="886.45"/>
    <n v="-381.21"/>
    <n v="0"/>
    <n v="246.96"/>
    <n v="5086.13"/>
    <n v="0"/>
    <n v="246.96"/>
    <n v="41549.19"/>
    <m/>
    <n v="6219.54"/>
  </r>
  <r>
    <x v="1"/>
    <s v="42490"/>
    <s v="AXELRO4"/>
    <x v="1"/>
    <s v="Axelrod Family Fund"/>
    <n v="80199.429999999993"/>
    <n v="0"/>
    <n v="-10400"/>
    <n v="1936.09"/>
    <n v="-856.14"/>
    <n v="0"/>
    <n v="554.62"/>
    <n v="11087.01"/>
    <n v="0"/>
    <n v="554.62"/>
    <n v="82521.009999999995"/>
    <m/>
    <n v="13577.720000000001"/>
  </r>
  <r>
    <x v="1"/>
    <s v="42489"/>
    <s v="APPLES1"/>
    <x v="1"/>
    <s v="Louis Applestein Memorial Fund"/>
    <n v="21599.33"/>
    <n v="0"/>
    <n v="0"/>
    <n v="536.15"/>
    <n v="-230.57"/>
    <n v="0"/>
    <n v="149.37"/>
    <n v="3076.26"/>
    <n v="0"/>
    <n v="149.37"/>
    <n v="25130.54"/>
    <m/>
    <n v="3761.78"/>
  </r>
  <r>
    <x v="1"/>
    <s v="42488"/>
    <s v="ANSHEN1"/>
    <x v="1"/>
    <s v="Rose Perlman Anshen and Harold Anshen Memorial Fund"/>
    <n v="29095.360000000001"/>
    <n v="0"/>
    <n v="-3250"/>
    <n v="666.63"/>
    <n v="-295.14"/>
    <n v="0"/>
    <n v="197.31"/>
    <n v="3942.21"/>
    <n v="0"/>
    <n v="197.31"/>
    <n v="30356.37"/>
    <m/>
    <n v="4806.1500000000005"/>
  </r>
  <r>
    <x v="1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2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2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2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2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2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2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2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2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2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2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2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2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2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2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2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2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2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2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2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2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2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2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2"/>
    <s v="65162"/>
    <s v="WINKLE17"/>
    <x v="2"/>
    <s v="Cecelia Ruth Winkler M.A.H. &amp; Paul Barry Winkler Ed. D. Endowment - Cafe Europa Fund"/>
    <n v="0"/>
    <n v="0"/>
    <n v="0"/>
    <n v="0"/>
    <n v="0"/>
    <n v="0"/>
    <n v="0"/>
    <n v="0"/>
    <n v="0"/>
    <n v="0"/>
    <n v="0"/>
    <m/>
    <n v="0"/>
  </r>
  <r>
    <x v="2"/>
    <s v="64981"/>
    <s v="EMES1"/>
    <x v="0"/>
    <s v="Congregation Toras Emes Life &amp; Legacy Endowment Fund"/>
    <n v="0"/>
    <n v="0"/>
    <n v="0"/>
    <n v="0"/>
    <n v="0"/>
    <n v="0"/>
    <n v="0"/>
    <n v="0"/>
    <n v="0"/>
    <n v="0"/>
    <n v="0"/>
    <m/>
    <n v="0"/>
  </r>
  <r>
    <x v="2"/>
    <s v="62677"/>
    <s v="BORKAN1"/>
    <x v="1"/>
    <s v="The Harold Borkan Fund"/>
    <n v="0"/>
    <n v="0"/>
    <n v="0"/>
    <n v="0"/>
    <n v="0"/>
    <n v="0"/>
    <n v="0"/>
    <n v="0"/>
    <n v="0"/>
    <n v="0"/>
    <n v="0"/>
    <m/>
    <n v="0"/>
  </r>
  <r>
    <x v="2"/>
    <s v="62661"/>
    <s v="HANAHA2"/>
    <x v="0"/>
    <s v="Kehilat HaNahar LIFE &amp; LEGACY Endowment Fund"/>
    <n v="0"/>
    <n v="0"/>
    <n v="0"/>
    <n v="0"/>
    <n v="0"/>
    <n v="0"/>
    <n v="0"/>
    <n v="0"/>
    <n v="0"/>
    <n v="0"/>
    <n v="0"/>
    <m/>
    <n v="0"/>
  </r>
  <r>
    <x v="2"/>
    <s v="60352"/>
    <s v="TJCCA1"/>
    <x v="2"/>
    <s v="TJCCA Designated Fund"/>
    <n v="0"/>
    <n v="0"/>
    <n v="0"/>
    <n v="0"/>
    <n v="0"/>
    <n v="0"/>
    <n v="0"/>
    <n v="0"/>
    <n v="0"/>
    <n v="0"/>
    <n v="0"/>
    <m/>
    <n v="0"/>
  </r>
  <r>
    <x v="2"/>
    <s v="56537"/>
    <s v="UJFPMB6"/>
    <x v="0"/>
    <s v="JFPMB LIFE &amp; LEGACY Endowment Fund"/>
    <n v="0"/>
    <n v="0"/>
    <n v="0"/>
    <n v="0"/>
    <n v="0"/>
    <n v="0"/>
    <n v="0"/>
    <n v="0"/>
    <n v="0"/>
    <n v="0"/>
    <n v="0"/>
    <m/>
    <n v="0"/>
  </r>
  <r>
    <x v="2"/>
    <s v="56365"/>
    <s v="FREEMA39"/>
    <x v="1"/>
    <s v="Herbert and Joan Freeman Fund"/>
    <n v="0"/>
    <n v="0"/>
    <n v="0"/>
    <n v="0"/>
    <n v="0"/>
    <n v="0"/>
    <n v="0"/>
    <n v="0"/>
    <n v="0"/>
    <n v="0"/>
    <n v="0"/>
    <m/>
    <n v="0"/>
  </r>
  <r>
    <x v="2"/>
    <s v="56131"/>
    <s v="VILKO1"/>
    <x v="1"/>
    <s v="Vilko Fund"/>
    <n v="0"/>
    <n v="0"/>
    <n v="0"/>
    <n v="0"/>
    <n v="0"/>
    <n v="0"/>
    <n v="0"/>
    <n v="0"/>
    <n v="0"/>
    <n v="0"/>
    <n v="0"/>
    <m/>
    <n v="0"/>
  </r>
  <r>
    <x v="2"/>
    <s v="56088"/>
    <s v="HEBREW4"/>
    <x v="0"/>
    <s v="Hebrew Free Loan Program Fund"/>
    <n v="0"/>
    <n v="0"/>
    <n v="0"/>
    <n v="0"/>
    <n v="0"/>
    <n v="0"/>
    <n v="0"/>
    <n v="0"/>
    <n v="0"/>
    <n v="0"/>
    <n v="0"/>
    <m/>
    <n v="0"/>
  </r>
  <r>
    <x v="2"/>
    <s v="56037"/>
    <s v="MEISEL4"/>
    <x v="1"/>
    <s v="The Andrew, Louisa, &amp; Owen Meisel Tzedakah"/>
    <n v="0"/>
    <n v="0"/>
    <n v="0"/>
    <n v="0"/>
    <n v="0"/>
    <n v="0"/>
    <n v="0"/>
    <n v="0"/>
    <n v="0"/>
    <n v="0"/>
    <n v="0"/>
    <m/>
    <n v="0"/>
  </r>
  <r>
    <x v="2"/>
    <s v="55648"/>
    <s v="BLICK1"/>
    <x v="1"/>
    <s v="Art &amp; Lauren Blick Donor Advised Fund"/>
    <n v="0"/>
    <n v="0"/>
    <n v="0"/>
    <n v="0"/>
    <n v="0"/>
    <n v="0"/>
    <n v="0"/>
    <n v="0"/>
    <n v="0"/>
    <n v="0"/>
    <n v="0"/>
    <m/>
    <n v="0"/>
  </r>
  <r>
    <x v="2"/>
    <s v="55401"/>
    <s v="KATZ110"/>
    <x v="1"/>
    <s v="Katz / Kurinsky Philanthropic Fund"/>
    <n v="0"/>
    <n v="0"/>
    <n v="0"/>
    <n v="0"/>
    <n v="0"/>
    <n v="0"/>
    <n v="0"/>
    <n v="0"/>
    <n v="0"/>
    <n v="0"/>
    <n v="0"/>
    <m/>
    <n v="0"/>
  </r>
  <r>
    <x v="2"/>
    <s v="55245"/>
    <s v="GORDON47"/>
    <x v="1"/>
    <s v="Gordon Community Fund"/>
    <n v="0"/>
    <n v="0"/>
    <n v="0"/>
    <n v="0"/>
    <n v="0"/>
    <n v="0"/>
    <n v="0"/>
    <n v="0"/>
    <n v="0"/>
    <n v="0"/>
    <n v="0"/>
    <m/>
    <n v="0"/>
  </r>
  <r>
    <x v="2"/>
    <s v="55070"/>
    <s v="KRAKAU1"/>
    <x v="1"/>
    <s v="Krakauer Fund"/>
    <n v="0"/>
    <n v="0"/>
    <n v="0"/>
    <n v="0"/>
    <n v="0"/>
    <n v="0"/>
    <n v="0"/>
    <n v="0"/>
    <n v="0"/>
    <n v="0"/>
    <n v="0"/>
    <m/>
    <n v="0"/>
  </r>
  <r>
    <x v="2"/>
    <s v="49564"/>
    <s v="JFCS3"/>
    <x v="0"/>
    <s v="JFCS of Greater Mercer County First LIFE &amp; LEGACY Endowment Fund"/>
    <n v="0"/>
    <n v="6000"/>
    <n v="0"/>
    <n v="49.64"/>
    <n v="-15.04"/>
    <n v="0"/>
    <n v="88.69"/>
    <n v="-135.83000000000001"/>
    <n v="0"/>
    <n v="88.69"/>
    <n v="5987.46"/>
    <m/>
    <n v="2.4999999999999858"/>
  </r>
  <r>
    <x v="2"/>
    <s v="49536"/>
    <s v="CHADAS1"/>
    <x v="0"/>
    <s v="Or Chadash LIFE &amp; LEGACY Endowment Fund"/>
    <n v="0"/>
    <n v="6000"/>
    <n v="0"/>
    <n v="51.7"/>
    <n v="-14.97"/>
    <n v="0"/>
    <n v="88.28"/>
    <n v="-164.94"/>
    <n v="0"/>
    <n v="88.28"/>
    <n v="5960.07"/>
    <m/>
    <n v="-24.959999999999994"/>
  </r>
  <r>
    <x v="2"/>
    <s v="49525"/>
    <s v="BETHCH1"/>
    <x v="0"/>
    <s v="Beth Chaim LIFE &amp; LEGACY Endowment Fund"/>
    <n v="0"/>
    <n v="6000"/>
    <n v="0"/>
    <n v="52.65"/>
    <n v="-14.93"/>
    <n v="0"/>
    <n v="88.05"/>
    <n v="-181.56"/>
    <n v="0"/>
    <n v="88.05"/>
    <n v="5944.21"/>
    <m/>
    <n v="-40.86"/>
  </r>
  <r>
    <x v="2"/>
    <s v="49524"/>
    <s v="ADATH1"/>
    <x v="0"/>
    <s v="Adath Israel LIFE &amp; LEGACY Endowment Fund"/>
    <n v="0"/>
    <n v="6000"/>
    <n v="0"/>
    <n v="52.57"/>
    <n v="-14.91"/>
    <n v="0"/>
    <n v="87.95"/>
    <n v="-187.83"/>
    <n v="0"/>
    <n v="87.95"/>
    <n v="5937.78"/>
    <m/>
    <n v="-47.310000000000016"/>
  </r>
  <r>
    <x v="2"/>
    <s v="49304"/>
    <s v="JEWISH28"/>
    <x v="0"/>
    <s v="Jewish Center of Princeton Endowment Fund"/>
    <n v="0"/>
    <n v="14776"/>
    <n v="0"/>
    <n v="78.28"/>
    <n v="-14.91"/>
    <n v="0"/>
    <n v="87.96"/>
    <n v="-403.05"/>
    <n v="0"/>
    <n v="87.96"/>
    <n v="14524.28"/>
    <m/>
    <n v="-236.81"/>
  </r>
  <r>
    <x v="2"/>
    <s v="49253"/>
    <s v="DAVIDS14"/>
    <x v="1"/>
    <s v="The DADA Fund"/>
    <n v="0"/>
    <n v="16751.7"/>
    <n v="-500"/>
    <n v="114.81"/>
    <n v="-37.5"/>
    <n v="0"/>
    <n v="240.31"/>
    <n v="-486.95"/>
    <n v="0"/>
    <n v="240.31"/>
    <n v="16082.37"/>
    <m/>
    <n v="-131.82999999999998"/>
  </r>
  <r>
    <x v="2"/>
    <s v="49131"/>
    <s v="MICHAE8"/>
    <x v="1"/>
    <s v="Manning &amp; Hoffman-Manning Charitable Fund"/>
    <n v="0"/>
    <n v="6000"/>
    <n v="0"/>
    <n v="60.53"/>
    <n v="-75"/>
    <n v="0"/>
    <n v="91.02"/>
    <n v="69.400000000000006"/>
    <n v="0"/>
    <n v="91.02"/>
    <n v="6145.95"/>
    <m/>
    <n v="220.95"/>
  </r>
  <r>
    <x v="2"/>
    <s v="48855"/>
    <s v="MEISEL2"/>
    <x v="1"/>
    <s v="Zachary, Ava &amp; Stella Kovner Meisel Tzedkah Fund"/>
    <n v="0"/>
    <n v="7000"/>
    <n v="0"/>
    <n v="73.61"/>
    <n v="-75"/>
    <n v="0"/>
    <n v="117.38"/>
    <n v="-347.1"/>
    <n v="0"/>
    <n v="117.38"/>
    <n v="6768.89"/>
    <m/>
    <n v="-156.11000000000001"/>
  </r>
  <r>
    <x v="2"/>
    <s v="48533"/>
    <s v="SNOW3"/>
    <x v="1"/>
    <s v="Nagelberg Philanthropic Fund"/>
    <n v="0"/>
    <n v="3284"/>
    <n v="0"/>
    <n v="45.05"/>
    <n v="-75"/>
    <n v="0"/>
    <n v="43.31"/>
    <n v="4.33"/>
    <n v="0"/>
    <n v="43.31"/>
    <n v="3301.69"/>
    <m/>
    <n v="92.69"/>
  </r>
  <r>
    <x v="2"/>
    <s v="48355"/>
    <s v="FREEMA17"/>
    <x v="1"/>
    <s v="Marsha &amp; Eliot Freeman Family Fund"/>
    <n v="0"/>
    <n v="50277.66"/>
    <n v="0"/>
    <n v="660.58"/>
    <n v="-189.03"/>
    <n v="0"/>
    <n v="655.16"/>
    <n v="-972.38"/>
    <n v="0"/>
    <n v="655.16"/>
    <n v="50431.99"/>
    <m/>
    <n v="343.36"/>
  </r>
  <r>
    <x v="2"/>
    <s v="48196"/>
    <s v="JEWISH27"/>
    <x v="3"/>
    <s v="Jewish Community Foundation of Greater Mercer LIFE &amp; LEGACY Endowment Fund"/>
    <n v="0"/>
    <n v="6000"/>
    <n v="0"/>
    <n v="102.32"/>
    <n v="-52.75"/>
    <n v="0"/>
    <n v="74.150000000000006"/>
    <n v="-50.61"/>
    <n v="0"/>
    <n v="74.150000000000006"/>
    <n v="6073.11"/>
    <m/>
    <n v="125.86"/>
  </r>
  <r>
    <x v="2"/>
    <s v="47872"/>
    <s v="WALDOR1"/>
    <x v="1"/>
    <s v="Berman-Waldorf Family Fund"/>
    <n v="0"/>
    <n v="4254.43"/>
    <n v="-1334"/>
    <n v="58"/>
    <n v="-112.5"/>
    <n v="0"/>
    <n v="40.53"/>
    <n v="-9.2899999999999991"/>
    <n v="0"/>
    <n v="40.53"/>
    <n v="2897.17"/>
    <m/>
    <n v="89.240000000000009"/>
  </r>
  <r>
    <x v="2"/>
    <s v="47724"/>
    <s v="SNOW2"/>
    <x v="1"/>
    <s v="Snow - Nagelberg Philanthropic Fund"/>
    <n v="7010.58"/>
    <n v="0"/>
    <n v="-460"/>
    <n v="149.07"/>
    <n v="-150"/>
    <n v="0"/>
    <n v="71.31"/>
    <n v="-134.85"/>
    <n v="0"/>
    <n v="71.31"/>
    <n v="6486.11"/>
    <m/>
    <n v="85.53"/>
  </r>
  <r>
    <x v="2"/>
    <s v="47350"/>
    <s v="FELDMA18"/>
    <x v="1"/>
    <s v="Dena Feldman Fund for Tzedakah"/>
    <n v="2764.1"/>
    <n v="18400"/>
    <n v="-700"/>
    <n v="441.99"/>
    <n v="-190.68"/>
    <n v="0"/>
    <n v="229.86"/>
    <n v="-280.33999999999997"/>
    <n v="0"/>
    <n v="229.86"/>
    <n v="20664.93"/>
    <m/>
    <n v="391.51000000000005"/>
  </r>
  <r>
    <x v="2"/>
    <s v="47349"/>
    <s v="FRAM1"/>
    <x v="1"/>
    <s v="Harvey &amp; Carine Fram Charitable Gift Fund"/>
    <n v="17048.75"/>
    <n v="0"/>
    <n v="0"/>
    <n v="382.53"/>
    <n v="-169.59"/>
    <n v="0"/>
    <n v="189.69"/>
    <n v="-333.27"/>
    <n v="0"/>
    <n v="189.69"/>
    <n v="17118.11"/>
    <m/>
    <n v="238.95"/>
  </r>
  <r>
    <x v="2"/>
    <s v="46976"/>
    <s v="DAVIDS12"/>
    <x v="1"/>
    <s v="Davidson Philanthropic Fund"/>
    <n v="10616.96"/>
    <n v="10000"/>
    <n v="-1000"/>
    <n v="276.69"/>
    <n v="-150"/>
    <n v="0"/>
    <n v="250.98"/>
    <n v="-593.9"/>
    <n v="0"/>
    <n v="250.98"/>
    <n v="19400.73"/>
    <m/>
    <n v="-66.22999999999999"/>
  </r>
  <r>
    <x v="2"/>
    <s v="46842"/>
    <s v="FELDST4"/>
    <x v="1"/>
    <s v="Lori and Michael Feldstein Fund"/>
    <n v="37811.279999999999"/>
    <n v="41862.28"/>
    <n v="-35463.760000000002"/>
    <n v="829.21"/>
    <n v="-449.93"/>
    <n v="0"/>
    <n v="632.30999999999995"/>
    <n v="-623.34"/>
    <n v="0"/>
    <n v="632.30999999999995"/>
    <n v="44598.05"/>
    <m/>
    <n v="838.18"/>
  </r>
  <r>
    <x v="2"/>
    <s v="46751"/>
    <s v="SHAKUN2"/>
    <x v="2"/>
    <s v="Beth El's Future"/>
    <n v="108207.67999999999"/>
    <n v="0"/>
    <n v="-3148"/>
    <n v="2357.58"/>
    <n v="-1052.8900000000001"/>
    <n v="0"/>
    <n v="1168.4100000000001"/>
    <n v="-2054.98"/>
    <n v="0"/>
    <n v="1168.4100000000001"/>
    <n v="105477.8"/>
    <m/>
    <n v="1471.01"/>
  </r>
  <r>
    <x v="2"/>
    <s v="46630"/>
    <s v="KOHN7"/>
    <x v="0"/>
    <s v="The Richard M. Kohn Endowment Fund"/>
    <n v="496463.86"/>
    <n v="0"/>
    <n v="-23927"/>
    <n v="10605.38"/>
    <n v="-4759.93"/>
    <n v="0"/>
    <n v="5254.01"/>
    <n v="-9246.0300000000007"/>
    <n v="0"/>
    <n v="5254.01"/>
    <n v="474390.29"/>
    <m/>
    <n v="6613.3599999999988"/>
  </r>
  <r>
    <x v="2"/>
    <s v="45234"/>
    <s v="LEIBOW1"/>
    <x v="1"/>
    <s v="Donald S. Leibowitz and Karen Brodsky Philanthropic Fund"/>
    <n v="30738.799999999999"/>
    <n v="54650.8"/>
    <n v="-14810"/>
    <n v="1101.24"/>
    <n v="-431.1"/>
    <n v="0"/>
    <n v="622.54"/>
    <n v="85.53"/>
    <n v="0"/>
    <n v="622.54"/>
    <n v="71957.81"/>
    <m/>
    <n v="1809.31"/>
  </r>
  <r>
    <x v="2"/>
    <s v="44365"/>
    <s v="DIAMON3"/>
    <x v="1"/>
    <s v="Rabbi James S. Diamond Memorial Fund"/>
    <n v="8581.61"/>
    <n v="7392.39"/>
    <n v="-2000"/>
    <n v="260.73"/>
    <n v="-150"/>
    <n v="0"/>
    <n v="157.32"/>
    <n v="-227.67"/>
    <n v="0"/>
    <n v="157.32"/>
    <n v="14014.38"/>
    <m/>
    <n v="190.38000000000002"/>
  </r>
  <r>
    <x v="2"/>
    <s v="43836"/>
    <s v="ZLATIN1"/>
    <x v="1"/>
    <s v="Tikkun Olam Fund"/>
    <n v="8646.25"/>
    <n v="7681.6"/>
    <n v="-14040"/>
    <n v="102.26"/>
    <n v="-150"/>
    <n v="0"/>
    <n v="32.49"/>
    <n v="38.119999999999997"/>
    <n v="0"/>
    <n v="32.49"/>
    <n v="2310.7199999999998"/>
    <m/>
    <n v="172.87"/>
  </r>
  <r>
    <x v="2"/>
    <s v="43834"/>
    <s v="GARBER7"/>
    <x v="1"/>
    <s v="Eileen and Robert Garber Family Fund"/>
    <n v="4428.05"/>
    <n v="2000"/>
    <n v="0"/>
    <n v="127.31"/>
    <n v="-150"/>
    <n v="0"/>
    <n v="83.43"/>
    <n v="-114.52"/>
    <n v="0"/>
    <n v="83.43"/>
    <n v="6374.27"/>
    <m/>
    <n v="96.220000000000013"/>
  </r>
  <r>
    <x v="2"/>
    <s v="42917"/>
    <s v="UJFPMB5"/>
    <x v="0"/>
    <s v="UJFPMB Kravitz"/>
    <n v="117452.78"/>
    <n v="0"/>
    <n v="-5595"/>
    <n v="2510.44"/>
    <n v="-1126.5899999999999"/>
    <n v="0"/>
    <n v="1243.74"/>
    <n v="-2188.63"/>
    <n v="0"/>
    <n v="1243.74"/>
    <n v="112296.74"/>
    <m/>
    <n v="1565.55"/>
  </r>
  <r>
    <x v="2"/>
    <s v="42559"/>
    <s v="PUNIA1"/>
    <x v="3"/>
    <s v="Renee Punia Fund"/>
    <n v="122080.46"/>
    <n v="0"/>
    <n v="-5815"/>
    <n v="2609.4"/>
    <n v="-1170.97"/>
    <n v="0"/>
    <n v="1292.74"/>
    <n v="-2274.9499999999998"/>
    <n v="0"/>
    <n v="1292.74"/>
    <n v="116721.68"/>
    <m/>
    <n v="1627.1900000000003"/>
  </r>
  <r>
    <x v="2"/>
    <s v="42558"/>
    <s v="KEHILL1"/>
    <x v="3"/>
    <s v="The Kehillah Fund"/>
    <n v="77336.149999999994"/>
    <n v="2174"/>
    <n v="0"/>
    <n v="1769"/>
    <n v="0"/>
    <n v="0"/>
    <n v="893.21"/>
    <n v="-1552.94"/>
    <n v="0"/>
    <n v="893.21"/>
    <n v="80619.42"/>
    <m/>
    <n v="1109.27"/>
  </r>
  <r>
    <x v="2"/>
    <s v="42557"/>
    <s v="FIF1"/>
    <x v="3"/>
    <s v="Foundation Investment Fund"/>
    <n v="100516.82"/>
    <n v="137500"/>
    <n v="-135320"/>
    <n v="2849.62"/>
    <n v="0"/>
    <n v="0"/>
    <n v="1063.3699999999999"/>
    <n v="1966.51"/>
    <n v="0"/>
    <n v="1063.3699999999999"/>
    <n v="108576.32000000001"/>
    <m/>
    <n v="5879.5"/>
  </r>
  <r>
    <x v="2"/>
    <s v="42555"/>
    <s v="UJFPMB4"/>
    <x v="0"/>
    <s v="UJFPMB Julius and Dorothy Koppelman Designated Fund"/>
    <n v="617915.27"/>
    <n v="0"/>
    <n v="-65000"/>
    <n v="12805.39"/>
    <n v="-5615.58"/>
    <n v="0"/>
    <n v="6144.08"/>
    <n v="-11211.18"/>
    <n v="0"/>
    <n v="6144.08"/>
    <n v="555037.98"/>
    <m/>
    <n v="7738.2899999999991"/>
  </r>
  <r>
    <x v="2"/>
    <s v="42554"/>
    <s v="UJFPMB3"/>
    <x v="0"/>
    <s v="UJFPMB Shirley Kobak Lion of Judah Endowment Fund"/>
    <n v="96955.8"/>
    <n v="0"/>
    <n v="-4618"/>
    <n v="2072.37"/>
    <n v="-929.98"/>
    <n v="0"/>
    <n v="1026.68"/>
    <n v="-1806.71"/>
    <n v="0"/>
    <n v="1026.68"/>
    <n v="92700.160000000003"/>
    <m/>
    <n v="1292.3399999999999"/>
  </r>
  <r>
    <x v="2"/>
    <s v="42553"/>
    <s v="UJFPMB2"/>
    <x v="0"/>
    <s v="UJFPMB Estates Fund"/>
    <n v="48264.97"/>
    <n v="0"/>
    <n v="0"/>
    <n v="1082.8900000000001"/>
    <n v="-480.12"/>
    <n v="0"/>
    <n v="536.95000000000005"/>
    <n v="-943.5"/>
    <n v="0"/>
    <n v="536.95000000000005"/>
    <n v="48461.19"/>
    <m/>
    <n v="676.34000000000015"/>
  </r>
  <r>
    <x v="2"/>
    <s v="42552"/>
    <s v="SRF1"/>
    <x v="0"/>
    <s v="Soviet Resettlement Fund"/>
    <n v="902.53"/>
    <n v="0"/>
    <n v="0"/>
    <n v="20.329999999999998"/>
    <n v="0"/>
    <n v="0"/>
    <n v="10.17"/>
    <n v="-17.71"/>
    <n v="0"/>
    <n v="10.17"/>
    <n v="915.32"/>
    <m/>
    <n v="12.789999999999997"/>
  </r>
  <r>
    <x v="2"/>
    <s v="42551"/>
    <s v="PACK1"/>
    <x v="0"/>
    <s v="JFCS Pack Scholarship Fund"/>
    <n v="19863.77"/>
    <n v="0"/>
    <n v="-757"/>
    <n v="428.76"/>
    <n v="-191.95"/>
    <n v="0"/>
    <n v="212.45"/>
    <n v="-373.67"/>
    <n v="0"/>
    <n v="212.45"/>
    <n v="19182.36"/>
    <m/>
    <n v="267.53999999999996"/>
  </r>
  <r>
    <x v="2"/>
    <s v="42550"/>
    <s v="AHALF1"/>
    <x v="0"/>
    <s v="AHA Sandy Light Fund"/>
    <n v="22429.02"/>
    <n v="197"/>
    <n v="-831"/>
    <n v="483.41"/>
    <n v="-217.4"/>
    <n v="0"/>
    <n v="243.09"/>
    <n v="-428.88"/>
    <n v="0"/>
    <n v="243.09"/>
    <n v="21875.24"/>
    <m/>
    <n v="297.62"/>
  </r>
  <r>
    <x v="2"/>
    <s v="42549"/>
    <s v="SILK1"/>
    <x v="1"/>
    <s v="Allen and Judith Silk Philanthropic Fund"/>
    <n v="18809.849999999999"/>
    <n v="50000"/>
    <n v="-31200"/>
    <n v="684.16"/>
    <n v="-352.81"/>
    <n v="0"/>
    <n v="601.36"/>
    <n v="-2256.64"/>
    <n v="0"/>
    <n v="601.36"/>
    <n v="36285.919999999998"/>
    <m/>
    <n v="-971.12"/>
  </r>
  <r>
    <x v="2"/>
    <s v="42548"/>
    <s v="ROJER2"/>
    <x v="2"/>
    <s v="Goldie B. Rojer Hunger Relief Fund"/>
    <n v="56211.28"/>
    <n v="0"/>
    <n v="-2142"/>
    <n v="1213.4000000000001"/>
    <n v="-543.16999999999996"/>
    <n v="0"/>
    <n v="601.27"/>
    <n v="-1057.74"/>
    <n v="0"/>
    <n v="601.27"/>
    <n v="54283.040000000001"/>
    <m/>
    <n v="756.93000000000006"/>
  </r>
  <r>
    <x v="2"/>
    <s v="42547"/>
    <s v="BERKOW5"/>
    <x v="2"/>
    <s v="Anne and Bernard Berkowitz Legacy Fund"/>
    <n v="13183.76"/>
    <n v="0"/>
    <n v="-628"/>
    <n v="281.45999999999998"/>
    <n v="-150"/>
    <n v="0"/>
    <n v="139.27000000000001"/>
    <n v="-245.58"/>
    <n v="0"/>
    <n v="139.27000000000001"/>
    <n v="12580.91"/>
    <m/>
    <n v="175.14999999999998"/>
  </r>
  <r>
    <x v="2"/>
    <s v="42546"/>
    <s v="YSF1"/>
    <x v="4"/>
    <s v="Youth Scholarship Fund"/>
    <n v="5366.95"/>
    <n v="0"/>
    <n v="0"/>
    <n v="121.22"/>
    <n v="0"/>
    <n v="0"/>
    <n v="60.4"/>
    <n v="-105.24"/>
    <n v="0"/>
    <n v="60.4"/>
    <n v="5443.33"/>
    <m/>
    <n v="76.38"/>
  </r>
  <r>
    <x v="2"/>
    <s v="42545"/>
    <s v="WOLLIN1"/>
    <x v="4"/>
    <s v="Wollin Scholarship Fund"/>
    <n v="33108.99"/>
    <n v="0"/>
    <n v="-5000"/>
    <n v="635.78"/>
    <n v="-292.07"/>
    <n v="0"/>
    <n v="312.17"/>
    <n v="-548.33000000000004"/>
    <n v="0"/>
    <n v="312.17"/>
    <n v="28216.54"/>
    <m/>
    <n v="399.61999999999995"/>
  </r>
  <r>
    <x v="2"/>
    <s v="42544"/>
    <s v="UJFPMB1"/>
    <x v="4"/>
    <s v="UJFPMB Income Fund"/>
    <n v="11334.72"/>
    <n v="0"/>
    <n v="-432"/>
    <n v="244.09"/>
    <n v="-150"/>
    <n v="0"/>
    <n v="120.69"/>
    <n v="-213.12"/>
    <n v="0"/>
    <n v="120.69"/>
    <n v="10904.38"/>
    <m/>
    <n v="151.66"/>
  </r>
  <r>
    <x v="2"/>
    <s v="42543"/>
    <s v="SIF1"/>
    <x v="4"/>
    <s v="Scholarship Investment Fund"/>
    <n v="27446.45"/>
    <n v="0"/>
    <n v="-890"/>
    <n v="597.96"/>
    <n v="-266.91000000000003"/>
    <n v="0"/>
    <n v="295.01"/>
    <n v="-517.13"/>
    <n v="0"/>
    <n v="295.01"/>
    <n v="26665.38"/>
    <m/>
    <n v="375.84000000000003"/>
  </r>
  <r>
    <x v="2"/>
    <s v="42542"/>
    <s v="OFFNER1"/>
    <x v="2"/>
    <s v="Offner JFCS Senior Services Fund"/>
    <n v="16938.04"/>
    <n v="0"/>
    <n v="-645"/>
    <n v="365.61"/>
    <n v="-163.66999999999999"/>
    <n v="0"/>
    <n v="181.19"/>
    <n v="-318.74"/>
    <n v="0"/>
    <n v="181.19"/>
    <n v="16357.43"/>
    <m/>
    <n v="228.06"/>
  </r>
  <r>
    <x v="2"/>
    <s v="42541"/>
    <s v="KLATZK2"/>
    <x v="4"/>
    <s v="Clive B. Klatzkin PACE Designated Fund"/>
    <n v="46559.199999999997"/>
    <n v="0"/>
    <n v="0"/>
    <n v="1044.6099999999999"/>
    <n v="-463.15"/>
    <n v="0"/>
    <n v="517.97"/>
    <n v="-910.17"/>
    <n v="0"/>
    <n v="517.97"/>
    <n v="46748.46"/>
    <m/>
    <n v="652.41"/>
  </r>
  <r>
    <x v="2"/>
    <s v="42540"/>
    <s v="KELSEY2"/>
    <x v="4"/>
    <s v="Harold H. Kelsey Greenwood House Fund"/>
    <n v="113448.4"/>
    <n v="0"/>
    <n v="-9779"/>
    <n v="2327.34"/>
    <n v="-1055.51"/>
    <n v="0"/>
    <n v="1152.0999999999999"/>
    <n v="-2030.04"/>
    <n v="0"/>
    <n v="1152.0999999999999"/>
    <n v="104063.29"/>
    <m/>
    <n v="1449.4"/>
  </r>
  <r>
    <x v="2"/>
    <s v="42539"/>
    <s v="KAHN7"/>
    <x v="4"/>
    <s v="Albert B. Kahn Scholarship Fund"/>
    <n v="145464.82999999999"/>
    <n v="0"/>
    <n v="-4585"/>
    <n v="3170.05"/>
    <n v="-1414.79"/>
    <n v="0"/>
    <n v="1565.26"/>
    <n v="-2759.51"/>
    <n v="0"/>
    <n v="1565.26"/>
    <n v="141440.84"/>
    <m/>
    <n v="1975.8"/>
  </r>
  <r>
    <x v="2"/>
    <s v="42537"/>
    <s v="GHIF1"/>
    <x v="4"/>
    <s v="Greenwood House Income Fund"/>
    <n v="11900.3"/>
    <n v="0"/>
    <n v="-454"/>
    <n v="256.42"/>
    <n v="-150"/>
    <n v="0"/>
    <n v="126.81"/>
    <n v="-223.75"/>
    <n v="0"/>
    <n v="126.81"/>
    <n v="11455.78"/>
    <m/>
    <n v="159.48000000000002"/>
  </r>
  <r>
    <x v="2"/>
    <s v="42536"/>
    <s v="GLAZER2"/>
    <x v="4"/>
    <s v="Henry and Geralyn Glazer Greenwood House Scholarship Fund"/>
    <n v="38847.56"/>
    <n v="0"/>
    <n v="-1500"/>
    <n v="846.35"/>
    <n v="-378.88"/>
    <n v="0"/>
    <n v="415.24"/>
    <n v="-740.71"/>
    <n v="0"/>
    <n v="415.24"/>
    <n v="37489.56"/>
    <m/>
    <n v="520.88"/>
  </r>
  <r>
    <x v="2"/>
    <s v="42535"/>
    <s v="GARB3"/>
    <x v="4"/>
    <s v="Benjamin Garb Scholarship Fund"/>
    <n v="39120.32"/>
    <n v="0"/>
    <n v="-1225"/>
    <n v="852.65"/>
    <n v="-380.51"/>
    <n v="0"/>
    <n v="421.09"/>
    <n v="-742.13"/>
    <n v="0"/>
    <n v="421.09"/>
    <n v="38046.42"/>
    <m/>
    <n v="531.6099999999999"/>
  </r>
  <r>
    <x v="2"/>
    <s v="42534"/>
    <s v="EDINIT1"/>
    <x v="4"/>
    <s v="Educational Initiative Fund"/>
    <n v="64918.93"/>
    <n v="40000"/>
    <n v="-1908"/>
    <n v="1899.85"/>
    <n v="-784.54"/>
    <n v="0"/>
    <n v="1225.4000000000001"/>
    <n v="-1575.88"/>
    <n v="0"/>
    <n v="1225.4000000000001"/>
    <n v="103775.76"/>
    <m/>
    <n v="1549.37"/>
  </r>
  <r>
    <x v="2"/>
    <s v="42533"/>
    <s v="DENBO4"/>
    <x v="4"/>
    <s v="Alexander &amp; Syble G. Denbo Penn State/Dickinson School of Law Fund"/>
    <n v="231088.52"/>
    <n v="0"/>
    <n v="-19920"/>
    <n v="4754.1499999999996"/>
    <n v="-2150.63"/>
    <n v="0"/>
    <n v="2347.7600000000002"/>
    <n v="-4063.87"/>
    <n v="0"/>
    <n v="2347.7600000000002"/>
    <n v="212055.93"/>
    <m/>
    <n v="3038.04"/>
  </r>
  <r>
    <x v="2"/>
    <s v="42532"/>
    <s v="DENBO3"/>
    <x v="2"/>
    <s v="Alexander &amp; Syble G. Denbo JFCS Fund"/>
    <n v="1569378.5"/>
    <n v="0"/>
    <n v="-91122.19"/>
    <n v="33569.33"/>
    <n v="-13813.08"/>
    <n v="0"/>
    <n v="16334.85"/>
    <n v="-29416.98"/>
    <n v="0"/>
    <n v="16334.85"/>
    <n v="1484930.43"/>
    <m/>
    <n v="20487.200000000004"/>
  </r>
  <r>
    <x v="2"/>
    <s v="42531"/>
    <s v="DENBO2"/>
    <x v="2"/>
    <s v="Alexander &amp; Syble G. Denbo Greenwood House Fund"/>
    <n v="1334727.97"/>
    <n v="0"/>
    <n v="-116790.97"/>
    <n v="27668.04"/>
    <n v="-11900.31"/>
    <n v="0"/>
    <n v="13444.67"/>
    <n v="-24261.86"/>
    <n v="0"/>
    <n v="13444.67"/>
    <n v="1222887.54"/>
    <m/>
    <n v="16850.849999999999"/>
  </r>
  <r>
    <x v="2"/>
    <s v="42530"/>
    <s v="DENBO1"/>
    <x v="4"/>
    <s v="Alexander Denbo School Fund"/>
    <n v="22614.44"/>
    <n v="0"/>
    <n v="-878"/>
    <n v="502.78"/>
    <n v="-224.96"/>
    <n v="0"/>
    <n v="248.95"/>
    <n v="-418.17"/>
    <n v="0"/>
    <n v="248.95"/>
    <n v="21845.040000000001"/>
    <m/>
    <n v="333.55999999999995"/>
  </r>
  <r>
    <x v="2"/>
    <s v="42529"/>
    <s v="AHAPIF1"/>
    <x v="4"/>
    <s v="AHA Pooled Special Funds"/>
    <n v="2517.59"/>
    <n v="0"/>
    <n v="0"/>
    <n v="56.86"/>
    <n v="0"/>
    <n v="0"/>
    <n v="28.34"/>
    <n v="-49.36"/>
    <n v="0"/>
    <n v="28.34"/>
    <n v="2553.4299999999998"/>
    <m/>
    <n v="35.840000000000003"/>
  </r>
  <r>
    <x v="2"/>
    <s v="42528"/>
    <s v="ZELTT1"/>
    <x v="1"/>
    <s v="Harold &amp; Marilyn Zeltt Charitable Fund"/>
    <n v="24229.89"/>
    <n v="0"/>
    <n v="-10500"/>
    <n v="319.99"/>
    <n v="-173.07"/>
    <n v="0"/>
    <n v="151.41"/>
    <n v="-275.55"/>
    <n v="0"/>
    <n v="151.41"/>
    <n v="13752.67"/>
    <m/>
    <n v="195.85"/>
  </r>
  <r>
    <x v="2"/>
    <s v="42527"/>
    <s v="WISOTS1"/>
    <x v="1"/>
    <s v="Wisotsky Family Philanthropic Fund"/>
    <n v="2747.66"/>
    <n v="0"/>
    <n v="0"/>
    <n v="59.91"/>
    <n v="-150"/>
    <n v="0"/>
    <n v="28.96"/>
    <n v="-53.02"/>
    <n v="0"/>
    <n v="28.96"/>
    <n v="2633.51"/>
    <m/>
    <n v="35.849999999999994"/>
  </r>
  <r>
    <x v="2"/>
    <s v="42525"/>
    <s v="URKEN1"/>
    <x v="1"/>
    <s v="Ernestine and Karl Urken Philanthropic Fund"/>
    <n v="15034.43"/>
    <n v="0"/>
    <n v="-100"/>
    <n v="336.3"/>
    <n v="-150.24"/>
    <n v="0"/>
    <n v="165.71"/>
    <n v="-294.14"/>
    <n v="0"/>
    <n v="165.71"/>
    <n v="14992.06"/>
    <m/>
    <n v="207.87000000000003"/>
  </r>
  <r>
    <x v="2"/>
    <s v="42524"/>
    <s v="SUCHAR1"/>
    <x v="1"/>
    <s v="Sucharow Family Charitable Fund"/>
    <n v="740366.17"/>
    <n v="241000.68"/>
    <n v="-437000"/>
    <n v="10970.33"/>
    <n v="-5975.72"/>
    <n v="0"/>
    <n v="7189.51"/>
    <n v="-18517.189999999999"/>
    <n v="0"/>
    <n v="7189.51"/>
    <n v="538033.78"/>
    <m/>
    <n v="-357.34999999999854"/>
  </r>
  <r>
    <x v="2"/>
    <s v="42523"/>
    <s v="STIX1"/>
    <x v="1"/>
    <s v="Stix Charitable Fund"/>
    <n v="199749.62"/>
    <n v="0"/>
    <n v="0"/>
    <n v="4481.66"/>
    <n v="-1987.02"/>
    <n v="0"/>
    <n v="2222.2199999999998"/>
    <n v="-3904.92"/>
    <n v="0"/>
    <n v="2222.2199999999998"/>
    <n v="200561.56"/>
    <m/>
    <n v="2798.9599999999996"/>
  </r>
  <r>
    <x v="2"/>
    <s v="42522"/>
    <s v="SMUKLE3"/>
    <x v="1"/>
    <s v="Smukler Fund"/>
    <n v="991882.95"/>
    <n v="0"/>
    <n v="-35000"/>
    <n v="22079.09"/>
    <n v="-9866.5300000000007"/>
    <n v="0"/>
    <n v="10930.24"/>
    <n v="-18185.080000000002"/>
    <n v="0"/>
    <n v="10930.24"/>
    <n v="961840.67"/>
    <m/>
    <n v="14824.249999999998"/>
  </r>
  <r>
    <x v="2"/>
    <s v="42520"/>
    <s v="SHECHT5"/>
    <x v="1"/>
    <s v="Shechtel Children's Fund"/>
    <n v="7214.02"/>
    <n v="0"/>
    <n v="0"/>
    <n v="160.76"/>
    <n v="-150"/>
    <n v="0"/>
    <n v="79.209999999999994"/>
    <n v="-140.56"/>
    <n v="0"/>
    <n v="79.209999999999994"/>
    <n v="7163.43"/>
    <m/>
    <n v="99.409999999999982"/>
  </r>
  <r>
    <x v="2"/>
    <s v="42519"/>
    <s v="SCHWAR33"/>
    <x v="1"/>
    <s v="Judith &amp; Martin Schwartz Family Charitable Trust"/>
    <n v="112457.1"/>
    <n v="19807.900000000001"/>
    <n v="-26525"/>
    <n v="2456.7800000000002"/>
    <n v="-1075.23"/>
    <n v="0"/>
    <n v="1177.8499999999999"/>
    <n v="-2381.12"/>
    <n v="0"/>
    <n v="1177.8499999999999"/>
    <n v="105918.28"/>
    <m/>
    <n v="1253.5100000000002"/>
  </r>
  <r>
    <x v="2"/>
    <s v="42518"/>
    <s v="SCHNUR3"/>
    <x v="1"/>
    <s v="Schnur Family Philanthropic Fund"/>
    <n v="145113.14000000001"/>
    <n v="0"/>
    <n v="-14000"/>
    <n v="3062.92"/>
    <n v="-1383.28"/>
    <n v="0"/>
    <n v="1446.5"/>
    <n v="-2623.79"/>
    <n v="0"/>
    <n v="1446.5"/>
    <n v="131615.49"/>
    <m/>
    <n v="1885.63"/>
  </r>
  <r>
    <x v="2"/>
    <s v="42516"/>
    <s v="SHAKUN1"/>
    <x v="1"/>
    <s v="Shakun &amp; Devery Family Fund"/>
    <n v="16046.6"/>
    <n v="6000"/>
    <n v="-12250"/>
    <n v="345.79"/>
    <n v="-182.9"/>
    <n v="0"/>
    <n v="118.57"/>
    <n v="-11.76"/>
    <n v="0"/>
    <n v="118.57"/>
    <n v="10066.299999999999"/>
    <m/>
    <n v="452.6"/>
  </r>
  <r>
    <x v="2"/>
    <s v="42515"/>
    <s v="SCHAEF7"/>
    <x v="1"/>
    <s v="Schaefer Family Philanthropic Fund"/>
    <n v="80115.789999999994"/>
    <n v="0"/>
    <n v="-16500"/>
    <n v="1553.58"/>
    <n v="-725.32"/>
    <n v="0"/>
    <n v="742.17"/>
    <n v="-1285.4000000000001"/>
    <n v="0"/>
    <n v="742.17"/>
    <n v="63900.82"/>
    <m/>
    <n v="1010.3499999999998"/>
  </r>
  <r>
    <x v="2"/>
    <s v="42514"/>
    <s v="KOHN6"/>
    <x v="2"/>
    <s v="RMK PACE Fund"/>
    <n v="104738.8"/>
    <n v="0"/>
    <n v="-4940"/>
    <n v="2239.8200000000002"/>
    <n v="-1005.01"/>
    <n v="0"/>
    <n v="1109.67"/>
    <n v="-1952.8"/>
    <n v="0"/>
    <n v="1109.67"/>
    <n v="100190.48"/>
    <m/>
    <n v="1396.6900000000003"/>
  </r>
  <r>
    <x v="2"/>
    <s v="42513"/>
    <s v="PIMLEY1"/>
    <x v="1"/>
    <s v="Oliver Jenson Pimley Tzedakah Fund"/>
    <n v="8407.82"/>
    <n v="0"/>
    <n v="0"/>
    <n v="187.7"/>
    <n v="-150"/>
    <n v="0"/>
    <n v="92.66"/>
    <n v="-164.03"/>
    <n v="0"/>
    <n v="92.66"/>
    <n v="8374.15"/>
    <m/>
    <n v="116.32999999999998"/>
  </r>
  <r>
    <x v="2"/>
    <s v="42512"/>
    <s v="PERLMA8"/>
    <x v="1"/>
    <s v="Bonnie and Richard Perlman Philanthropic Fund"/>
    <n v="18515.830000000002"/>
    <n v="0"/>
    <n v="-6850"/>
    <n v="358.3"/>
    <n v="-173.72"/>
    <n v="0"/>
    <n v="168.92"/>
    <n v="-630.66999999999996"/>
    <n v="0"/>
    <n v="168.92"/>
    <n v="11388.66"/>
    <m/>
    <n v="-103.44999999999996"/>
  </r>
  <r>
    <x v="2"/>
    <s v="42511"/>
    <s v="PERLMA7"/>
    <x v="1"/>
    <s v="B. Perlman Family Charitable Fund"/>
    <n v="13234.91"/>
    <n v="0"/>
    <n v="-6100"/>
    <n v="220.68"/>
    <n v="-150"/>
    <n v="0"/>
    <n v="63.67"/>
    <n v="-67.13"/>
    <n v="0"/>
    <n v="63.67"/>
    <n v="7202.13"/>
    <m/>
    <n v="217.22000000000003"/>
  </r>
  <r>
    <x v="2"/>
    <s v="42510"/>
    <s v="NEUMAN3"/>
    <x v="1"/>
    <s v="Jerry Neumann &amp; Naomi Richman Philanthropic Fund"/>
    <n v="48362.14"/>
    <n v="29134.66"/>
    <n v="-5100"/>
    <n v="1308.53"/>
    <n v="-605.42999999999995"/>
    <n v="0"/>
    <n v="934.55"/>
    <n v="-484.96"/>
    <n v="0"/>
    <n v="934.55"/>
    <n v="73549.490000000005"/>
    <m/>
    <n v="1758.12"/>
  </r>
  <r>
    <x v="2"/>
    <s v="42509"/>
    <s v="MILLER147"/>
    <x v="1"/>
    <s v="Sue Ellen and David H. Miller Family Charitable Fund"/>
    <n v="14549.27"/>
    <n v="0"/>
    <n v="0"/>
    <n v="326.38"/>
    <n v="-150"/>
    <n v="0"/>
    <n v="161.79"/>
    <n v="-284.39999999999998"/>
    <n v="0"/>
    <n v="161.79"/>
    <n v="14603.04"/>
    <m/>
    <n v="203.77"/>
  </r>
  <r>
    <x v="2"/>
    <s v="42508"/>
    <s v="KLATZK1"/>
    <x v="1"/>
    <s v="Clive and Audrey Klatzkin Family Philanthropic Fund"/>
    <n v="61116.22"/>
    <n v="0"/>
    <n v="-3000"/>
    <n v="1347.5"/>
    <n v="-602.97"/>
    <n v="0"/>
    <n v="637.47"/>
    <n v="-1000.59"/>
    <n v="0"/>
    <n v="637.47"/>
    <n v="58497.63"/>
    <m/>
    <n v="984.38"/>
  </r>
  <r>
    <x v="2"/>
    <s v="42507"/>
    <s v="KALISH2"/>
    <x v="1"/>
    <s v="Peggy and Errol Kalish Philanthropic Fund"/>
    <n v="73631.42"/>
    <n v="0"/>
    <n v="0"/>
    <n v="1652"/>
    <n v="-732.46"/>
    <n v="0"/>
    <n v="819.16"/>
    <n v="-1439.37"/>
    <n v="0"/>
    <n v="819.16"/>
    <n v="73930.75"/>
    <m/>
    <n v="1031.79"/>
  </r>
  <r>
    <x v="2"/>
    <s v="42506"/>
    <s v="KAHN6"/>
    <x v="1"/>
    <s v="Kahn Family Philanthropic Fund"/>
    <n v="9876.67"/>
    <n v="0"/>
    <n v="-500"/>
    <n v="218.52"/>
    <n v="-150"/>
    <n v="0"/>
    <n v="107.7"/>
    <n v="-176.27"/>
    <n v="0"/>
    <n v="107.7"/>
    <n v="9376.6200000000008"/>
    <m/>
    <n v="149.94999999999999"/>
  </r>
  <r>
    <x v="2"/>
    <s v="42505"/>
    <s v="HARRIS51"/>
    <x v="1"/>
    <s v="Sara Jane and Morris Harris Philanthropic Fund"/>
    <n v="92074.76"/>
    <n v="0"/>
    <n v="0"/>
    <n v="2065.7800000000002"/>
    <n v="-915.92"/>
    <n v="0"/>
    <n v="1024.3399999999999"/>
    <n v="-1799.96"/>
    <n v="0"/>
    <n v="1024.3399999999999"/>
    <n v="92449"/>
    <m/>
    <n v="1290.1600000000001"/>
  </r>
  <r>
    <x v="2"/>
    <s v="42504"/>
    <s v="GOODMA11"/>
    <x v="1"/>
    <s v="Goodman Family Philanthropic Fund"/>
    <n v="34024.79"/>
    <n v="0"/>
    <n v="0"/>
    <n v="763.42"/>
    <n v="-338.46"/>
    <n v="0"/>
    <n v="378.53"/>
    <n v="-665.18"/>
    <n v="0"/>
    <n v="378.53"/>
    <n v="34163.1"/>
    <m/>
    <n v="476.77"/>
  </r>
  <r>
    <x v="2"/>
    <s v="42503"/>
    <s v="GOLDMA21"/>
    <x v="1"/>
    <s v="Debby and Peter Goldman Fund"/>
    <n v="171809.25"/>
    <n v="0"/>
    <n v="0"/>
    <n v="3854.76"/>
    <n v="-1709.08"/>
    <n v="0"/>
    <n v="1911.38"/>
    <n v="-3358.76"/>
    <n v="0"/>
    <n v="1911.38"/>
    <n v="172507.55"/>
    <m/>
    <n v="2407.38"/>
  </r>
  <r>
    <x v="2"/>
    <s v="42502"/>
    <s v="GLAZER1"/>
    <x v="1"/>
    <s v="Richard M. Glazer Philanthropic Fund"/>
    <n v="23758.57"/>
    <n v="0"/>
    <n v="-1424"/>
    <n v="511.98"/>
    <n v="-230.83"/>
    <n v="0"/>
    <n v="250.95"/>
    <n v="-441.64"/>
    <n v="0"/>
    <n v="250.95"/>
    <n v="22425.03"/>
    <m/>
    <n v="321.29000000000002"/>
  </r>
  <r>
    <x v="2"/>
    <s v="42499"/>
    <s v="FELDMA13"/>
    <x v="1"/>
    <s v="Talia Feldman Fund for Tzedakah"/>
    <n v="18487.14"/>
    <n v="0"/>
    <n v="-4400"/>
    <n v="357.78"/>
    <n v="-171.17"/>
    <n v="0"/>
    <n v="149.66999999999999"/>
    <n v="-274.10000000000002"/>
    <n v="0"/>
    <n v="149.66999999999999"/>
    <n v="14149.32"/>
    <m/>
    <n v="233.34999999999994"/>
  </r>
  <r>
    <x v="2"/>
    <s v="42498"/>
    <s v="FANNIN3"/>
    <x v="1"/>
    <s v="Lillian and Arthur Fanning Memorial Fund"/>
    <n v="64175.67"/>
    <n v="0"/>
    <n v="-3600"/>
    <n v="1404.59"/>
    <n v="-629.35"/>
    <n v="0"/>
    <n v="660.61"/>
    <n v="-1177.77"/>
    <n v="0"/>
    <n v="660.61"/>
    <n v="60833.75"/>
    <m/>
    <n v="887.43"/>
  </r>
  <r>
    <x v="2"/>
    <s v="42497"/>
    <s v="FAMILA1"/>
    <x v="1"/>
    <s v="Rosalind &quot;Mimi&quot; and Aaron &quot;Poppy&quot; Familant Fund"/>
    <n v="18406.099999999999"/>
    <n v="0"/>
    <n v="-1000"/>
    <n v="390.38"/>
    <n v="-175.47"/>
    <n v="0"/>
    <n v="193.28"/>
    <n v="-361.72"/>
    <n v="0"/>
    <n v="193.28"/>
    <n v="17452.57"/>
    <m/>
    <n v="221.93999999999997"/>
  </r>
  <r>
    <x v="2"/>
    <s v="42496"/>
    <s v="ENTIN1"/>
    <x v="1"/>
    <s v="Sadie and Leon Entin Memorial Fund"/>
    <n v="11836.85"/>
    <n v="0"/>
    <n v="-1500"/>
    <n v="235.16"/>
    <n v="-150"/>
    <n v="0"/>
    <n v="114.13"/>
    <n v="-218.52"/>
    <n v="0"/>
    <n v="114.13"/>
    <n v="10317.620000000001"/>
    <m/>
    <n v="130.76999999999998"/>
  </r>
  <r>
    <x v="2"/>
    <s v="42495"/>
    <s v="EGGER2"/>
    <x v="1"/>
    <s v="Audrey and David Egger Charitable Fund"/>
    <n v="46332.47"/>
    <n v="0"/>
    <n v="-22000"/>
    <n v="676.27"/>
    <n v="-349.01"/>
    <n v="0"/>
    <n v="214.36"/>
    <n v="-799.48"/>
    <n v="0"/>
    <n v="214.36"/>
    <n v="24074.61"/>
    <m/>
    <n v="91.149999999999977"/>
  </r>
  <r>
    <x v="2"/>
    <s v="42494"/>
    <s v="COHEN57"/>
    <x v="1"/>
    <s v="Janet and Howard Cohen Philanthropic Fund"/>
    <n v="48815.86"/>
    <n v="0"/>
    <n v="-1750"/>
    <n v="1069.23"/>
    <n v="-478.13"/>
    <n v="0"/>
    <n v="529.6"/>
    <n v="-909.24"/>
    <n v="0"/>
    <n v="529.6"/>
    <n v="47277.32"/>
    <m/>
    <n v="689.59"/>
  </r>
  <r>
    <x v="2"/>
    <s v="42493"/>
    <s v="BURNS15"/>
    <x v="1"/>
    <s v="Joseph Burns Fund"/>
    <n v="7804.35"/>
    <n v="2500"/>
    <n v="0"/>
    <n v="199.76"/>
    <n v="-150"/>
    <n v="0"/>
    <n v="123.15"/>
    <n v="-198.25"/>
    <n v="0"/>
    <n v="123.15"/>
    <n v="10279.01"/>
    <m/>
    <n v="124.66"/>
  </r>
  <r>
    <x v="2"/>
    <s v="42492"/>
    <s v="BERMAN14"/>
    <x v="1"/>
    <s v="Ronald and Marie Berman Philanthropic Fund"/>
    <n v="33950.550000000003"/>
    <n v="0"/>
    <n v="-14500"/>
    <n v="498.34"/>
    <n v="-262.83"/>
    <n v="0"/>
    <n v="209.85"/>
    <n v="-833.06"/>
    <n v="0"/>
    <n v="209.85"/>
    <n v="19062.849999999999"/>
    <m/>
    <n v="-124.86999999999998"/>
  </r>
  <r>
    <x v="2"/>
    <s v="42491"/>
    <s v="BERGER10"/>
    <x v="1"/>
    <s v="Samuel S. and Regina Berger Charitable Fund"/>
    <n v="41549.19"/>
    <n v="0"/>
    <n v="0"/>
    <n v="932.21"/>
    <n v="-413.31"/>
    <n v="0"/>
    <n v="462.22"/>
    <n v="-812.22"/>
    <n v="0"/>
    <n v="462.22"/>
    <n v="41718.089999999997"/>
    <m/>
    <n v="582.21"/>
  </r>
  <r>
    <x v="2"/>
    <s v="42490"/>
    <s v="AXELRO4"/>
    <x v="1"/>
    <s v="Axelrod Family Fund"/>
    <n v="82521.009999999995"/>
    <n v="0"/>
    <n v="-7000"/>
    <n v="1780.21"/>
    <n v="-805.68"/>
    <n v="0"/>
    <n v="880.13"/>
    <n v="-1473.29"/>
    <n v="0"/>
    <n v="880.13"/>
    <n v="75902.38"/>
    <m/>
    <n v="1187.0500000000002"/>
  </r>
  <r>
    <x v="2"/>
    <s v="42489"/>
    <s v="APPLES1"/>
    <x v="1"/>
    <s v="Louis Applestein Memorial Fund"/>
    <n v="25130.54"/>
    <n v="0"/>
    <n v="0"/>
    <n v="563.84"/>
    <n v="-249.99"/>
    <n v="0"/>
    <n v="279.57"/>
    <n v="-491.3"/>
    <n v="0"/>
    <n v="279.57"/>
    <n v="25232.66"/>
    <m/>
    <n v="352.11"/>
  </r>
  <r>
    <x v="2"/>
    <s v="42488"/>
    <s v="ANSHEN1"/>
    <x v="1"/>
    <s v="Rose Perlman Anshen and Harold Anshen Memorial Fund"/>
    <n v="30356.37"/>
    <n v="0"/>
    <n v="-500"/>
    <n v="669.84"/>
    <n v="-298.25"/>
    <n v="0"/>
    <n v="332.17"/>
    <n v="-581.23"/>
    <n v="0"/>
    <n v="332.17"/>
    <n v="29978.9"/>
    <m/>
    <n v="420.78000000000003"/>
  </r>
  <r>
    <x v="2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3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3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3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3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3"/>
    <s v="73981"/>
    <s v="BRENT4"/>
    <x v="1"/>
    <s v="The Brent Family Fund"/>
    <n v="0"/>
    <n v="0"/>
    <n v="0"/>
    <n v="0"/>
    <n v="0"/>
    <n v="0"/>
    <n v="0"/>
    <n v="0"/>
    <n v="0"/>
    <n v="0"/>
    <n v="0"/>
    <m/>
    <n v="0"/>
  </r>
  <r>
    <x v="3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3"/>
    <s v="72136"/>
    <s v="APPLES2"/>
    <x v="2"/>
    <s v="The Anice Applestein Fund"/>
    <n v="0"/>
    <n v="0"/>
    <n v="0"/>
    <n v="0"/>
    <n v="0"/>
    <n v="0"/>
    <n v="0"/>
    <n v="0"/>
    <n v="0"/>
    <n v="0"/>
    <n v="0"/>
    <m/>
    <n v="0"/>
  </r>
  <r>
    <x v="3"/>
    <s v="72135"/>
    <s v="FELDST5"/>
    <x v="1"/>
    <s v="The Ruth and Nathan Feldstein Israel Travel Scholarship"/>
    <n v="0"/>
    <n v="0"/>
    <n v="0"/>
    <n v="0"/>
    <n v="0"/>
    <n v="0"/>
    <n v="0"/>
    <n v="0"/>
    <n v="0"/>
    <n v="0"/>
    <n v="0"/>
    <m/>
    <n v="0"/>
  </r>
  <r>
    <x v="3"/>
    <s v="71829"/>
    <s v="DREIER2"/>
    <x v="1"/>
    <s v="Sandra H. and William A. Dreier Charitable Trust"/>
    <n v="0"/>
    <n v="0"/>
    <n v="0"/>
    <n v="0"/>
    <n v="0"/>
    <n v="0"/>
    <n v="0"/>
    <n v="0"/>
    <n v="0"/>
    <n v="0"/>
    <n v="0"/>
    <m/>
    <n v="0"/>
  </r>
  <r>
    <x v="3"/>
    <s v="71543"/>
    <s v="GROSSM25"/>
    <x v="1"/>
    <s v="The Amy Marlene Grossman Memorial Fund"/>
    <n v="0"/>
    <n v="0"/>
    <n v="0"/>
    <n v="0"/>
    <n v="0"/>
    <n v="0"/>
    <n v="0"/>
    <n v="0"/>
    <n v="0"/>
    <n v="0"/>
    <n v="0"/>
    <m/>
    <n v="0"/>
  </r>
  <r>
    <x v="3"/>
    <s v="70511"/>
    <s v="SACHS4"/>
    <x v="1"/>
    <s v="The Renee Lisse Sachs (nee Lyszka) Charitable Contribution Fund for the Benefit of Humanity"/>
    <n v="0"/>
    <n v="0"/>
    <n v="0"/>
    <n v="0"/>
    <n v="0"/>
    <n v="0"/>
    <n v="0"/>
    <n v="0"/>
    <n v="0"/>
    <n v="0"/>
    <n v="0"/>
    <m/>
    <n v="0"/>
  </r>
  <r>
    <x v="3"/>
    <s v="70509"/>
    <s v="RUBIN18"/>
    <x v="1"/>
    <s v="Amy E. and Kenneth A. Rubin Philanthropic Fund"/>
    <n v="0"/>
    <n v="0"/>
    <n v="0"/>
    <n v="0"/>
    <n v="0"/>
    <n v="0"/>
    <n v="0"/>
    <n v="0"/>
    <n v="0"/>
    <n v="0"/>
    <n v="0"/>
    <m/>
    <n v="0"/>
  </r>
  <r>
    <x v="3"/>
    <s v="70466"/>
    <s v="SMALL10"/>
    <x v="2"/>
    <s v="The Small Family Fund"/>
    <n v="0"/>
    <n v="0"/>
    <n v="0"/>
    <n v="0"/>
    <n v="0"/>
    <n v="0"/>
    <n v="0"/>
    <n v="0"/>
    <n v="0"/>
    <n v="0"/>
    <n v="0"/>
    <m/>
    <n v="0"/>
  </r>
  <r>
    <x v="3"/>
    <s v="66878"/>
    <s v="WALLAC38"/>
    <x v="2"/>
    <s v="Robin Liebmann Wallack Fund"/>
    <n v="0"/>
    <n v="0"/>
    <n v="0"/>
    <n v="0"/>
    <n v="0"/>
    <n v="0"/>
    <n v="0"/>
    <n v="0"/>
    <n v="0"/>
    <n v="0"/>
    <n v="0"/>
    <m/>
    <n v="0"/>
  </r>
  <r>
    <x v="3"/>
    <s v="66877"/>
    <s v="WALLAC37"/>
    <x v="2"/>
    <s v="Wallack Family Fund"/>
    <n v="0"/>
    <n v="0"/>
    <n v="0"/>
    <n v="0"/>
    <n v="0"/>
    <n v="0"/>
    <n v="0"/>
    <n v="0"/>
    <n v="0"/>
    <n v="0"/>
    <n v="0"/>
    <m/>
    <n v="0"/>
  </r>
  <r>
    <x v="3"/>
    <s v="66851"/>
    <s v="PORTER29"/>
    <x v="1"/>
    <s v="The Porter Family Donor Advised Fund"/>
    <n v="0"/>
    <n v="0"/>
    <n v="0"/>
    <n v="0"/>
    <n v="0"/>
    <n v="0"/>
    <n v="0"/>
    <n v="0"/>
    <n v="0"/>
    <n v="0"/>
    <n v="0"/>
    <m/>
    <n v="0"/>
  </r>
  <r>
    <x v="3"/>
    <s v="66850"/>
    <s v="MEYERS19"/>
    <x v="1"/>
    <s v="The Help Someone Fund"/>
    <n v="0"/>
    <n v="0"/>
    <n v="0"/>
    <n v="0"/>
    <n v="0"/>
    <n v="0"/>
    <n v="0"/>
    <n v="0"/>
    <n v="0"/>
    <n v="0"/>
    <n v="0"/>
    <m/>
    <n v="0"/>
  </r>
  <r>
    <x v="3"/>
    <s v="65383"/>
    <s v="VDOR1"/>
    <x v="3"/>
    <s v="Jewish Community Foundation of Greater Mercer L'Dor V'Dor Fund"/>
    <n v="0"/>
    <n v="0"/>
    <n v="0"/>
    <n v="0"/>
    <n v="0"/>
    <n v="0"/>
    <n v="0"/>
    <n v="0"/>
    <n v="0"/>
    <n v="0"/>
    <n v="0"/>
    <m/>
    <n v="0"/>
  </r>
  <r>
    <x v="3"/>
    <s v="65382"/>
    <s v="KRAMER24"/>
    <x v="0"/>
    <s v="JCC of the Delaware Valley - Kramer Fund Restricted"/>
    <n v="0"/>
    <n v="0"/>
    <n v="0"/>
    <n v="0"/>
    <n v="0"/>
    <n v="0"/>
    <n v="0"/>
    <n v="0"/>
    <n v="0"/>
    <n v="0"/>
    <n v="0"/>
    <m/>
    <n v="0"/>
  </r>
  <r>
    <x v="3"/>
    <s v="65381"/>
    <s v="SZWALB1"/>
    <x v="0"/>
    <s v="JCC of the Delaware Valley - Shelly &amp; Ben Szwalbenest Fund"/>
    <n v="0"/>
    <n v="0"/>
    <n v="0"/>
    <n v="0"/>
    <n v="0"/>
    <n v="0"/>
    <n v="0"/>
    <n v="0"/>
    <n v="0"/>
    <n v="0"/>
    <n v="0"/>
    <m/>
    <n v="0"/>
  </r>
  <r>
    <x v="3"/>
    <s v="65380"/>
    <s v="COHEN105"/>
    <x v="0"/>
    <s v="JCC of the Delaware Valley - Seymour Cohen Early Childhood Fund"/>
    <n v="0"/>
    <n v="0"/>
    <n v="0"/>
    <n v="0"/>
    <n v="0"/>
    <n v="0"/>
    <n v="0"/>
    <n v="0"/>
    <n v="0"/>
    <n v="0"/>
    <n v="0"/>
    <m/>
    <n v="0"/>
  </r>
  <r>
    <x v="3"/>
    <s v="65379"/>
    <s v="KRAMER23"/>
    <x v="0"/>
    <s v="JCC of the Delaware Valley - Kramer Fund Interest for Cultural Activities"/>
    <n v="0"/>
    <n v="0"/>
    <n v="0"/>
    <n v="0"/>
    <n v="0"/>
    <n v="0"/>
    <n v="0"/>
    <n v="0"/>
    <n v="0"/>
    <n v="0"/>
    <n v="0"/>
    <m/>
    <n v="0"/>
  </r>
  <r>
    <x v="3"/>
    <s v="65162"/>
    <s v="WINKLE17"/>
    <x v="2"/>
    <s v="Cecelia Ruth Winkler M.A.H. &amp; Paul Barry Winkler Ed. D. Endowment - Cafe Europa Fund"/>
    <n v="0"/>
    <n v="6000"/>
    <n v="0"/>
    <n v="4.28"/>
    <n v="0"/>
    <n v="0"/>
    <n v="0"/>
    <n v="224.83"/>
    <n v="0"/>
    <n v="0"/>
    <n v="6229.11"/>
    <m/>
    <n v="229.11"/>
  </r>
  <r>
    <x v="3"/>
    <s v="64981"/>
    <s v="EMES1"/>
    <x v="0"/>
    <s v="Congregation Toras Emes Life &amp; Legacy Endowment Fund"/>
    <n v="0"/>
    <n v="6000"/>
    <n v="0"/>
    <n v="29.15"/>
    <n v="0"/>
    <n v="0"/>
    <n v="0"/>
    <n v="-29.72"/>
    <n v="0"/>
    <n v="0"/>
    <n v="5999.43"/>
    <m/>
    <n v="-0.57000000000000028"/>
  </r>
  <r>
    <x v="3"/>
    <s v="62677"/>
    <s v="BORKAN1"/>
    <x v="1"/>
    <s v="The Harold Borkan Fund"/>
    <n v="0"/>
    <n v="15520.32"/>
    <n v="0"/>
    <n v="93.24"/>
    <n v="0"/>
    <n v="0"/>
    <n v="0"/>
    <n v="262.47000000000003"/>
    <n v="0"/>
    <n v="0"/>
    <n v="15876.03"/>
    <m/>
    <n v="355.71000000000004"/>
  </r>
  <r>
    <x v="3"/>
    <s v="62661"/>
    <s v="HANAHA2"/>
    <x v="0"/>
    <s v="Kehilat HaNahar LIFE &amp; LEGACY Endowment Fund"/>
    <n v="0"/>
    <n v="6000"/>
    <n v="0"/>
    <n v="35.840000000000003"/>
    <n v="0"/>
    <n v="0"/>
    <n v="0"/>
    <n v="64.87"/>
    <n v="0"/>
    <n v="0"/>
    <n v="6100.71"/>
    <m/>
    <n v="100.71000000000001"/>
  </r>
  <r>
    <x v="3"/>
    <s v="60352"/>
    <s v="TJCCA1"/>
    <x v="2"/>
    <s v="TJCCA Designated Fund"/>
    <n v="0"/>
    <n v="281876.12"/>
    <n v="0"/>
    <n v="909.1"/>
    <n v="0"/>
    <m/>
    <n v="0"/>
    <n v="1832.95"/>
    <n v="0"/>
    <n v="0"/>
    <n v="284618.17"/>
    <m/>
    <n v="2742.05"/>
  </r>
  <r>
    <x v="3"/>
    <s v="56537"/>
    <s v="UJFPMB6"/>
    <x v="0"/>
    <s v="JFPMB LIFE &amp; LEGACY Endowment Fund"/>
    <n v="0"/>
    <n v="6000"/>
    <n v="0"/>
    <n v="54.29"/>
    <n v="-37.5"/>
    <n v="0"/>
    <n v="-7.9"/>
    <n v="148.91999999999999"/>
    <n v="0"/>
    <n v="-7.9"/>
    <n v="6157.81"/>
    <m/>
    <n v="195.30999999999997"/>
  </r>
  <r>
    <x v="3"/>
    <s v="56365"/>
    <s v="FREEMA39"/>
    <x v="1"/>
    <s v="Herbert and Joan Freeman Fund"/>
    <n v="0"/>
    <n v="23363.759999999998"/>
    <n v="-4340"/>
    <n v="108.25"/>
    <n v="-37.5"/>
    <n v="0"/>
    <n v="-16.2"/>
    <n v="476.3"/>
    <n v="0"/>
    <n v="-16.2"/>
    <n v="19554.61"/>
    <m/>
    <n v="568.34999999999991"/>
  </r>
  <r>
    <x v="3"/>
    <s v="56131"/>
    <s v="VILKO1"/>
    <x v="1"/>
    <s v="Vilko Fund"/>
    <n v="0"/>
    <n v="56349.43"/>
    <n v="-31200"/>
    <n v="248.38"/>
    <n v="-37.5"/>
    <n v="0"/>
    <n v="-11.12"/>
    <n v="735.02"/>
    <n v="0"/>
    <n v="-11.12"/>
    <n v="26084.21"/>
    <m/>
    <n v="972.28"/>
  </r>
  <r>
    <x v="3"/>
    <s v="56088"/>
    <s v="HEBREW4"/>
    <x v="0"/>
    <s v="Hebrew Free Loan Program Fund"/>
    <n v="0"/>
    <n v="10000"/>
    <n v="0"/>
    <n v="108.34"/>
    <n v="-37.5"/>
    <n v="0"/>
    <n v="-16.59"/>
    <n v="756.61"/>
    <n v="0"/>
    <n v="-16.59"/>
    <n v="10810.86"/>
    <m/>
    <n v="848.36"/>
  </r>
  <r>
    <x v="3"/>
    <s v="56037"/>
    <s v="MEISEL4"/>
    <x v="1"/>
    <s v="The Andrew, Louisa, &amp; Owen Meisel Tzedakah"/>
    <n v="0"/>
    <n v="7000"/>
    <n v="0"/>
    <n v="72.39"/>
    <n v="-75"/>
    <n v="0"/>
    <n v="-11.1"/>
    <n v="233.07"/>
    <n v="0"/>
    <n v="-11.1"/>
    <n v="7219.36"/>
    <m/>
    <n v="294.35999999999996"/>
  </r>
  <r>
    <x v="3"/>
    <s v="55648"/>
    <s v="BLICK1"/>
    <x v="1"/>
    <s v="Art &amp; Lauren Blick Donor Advised Fund"/>
    <n v="0"/>
    <n v="10000"/>
    <n v="-6944.57"/>
    <n v="104.57"/>
    <n v="-75"/>
    <n v="0"/>
    <n v="38.72"/>
    <n v="-119.97"/>
    <n v="0"/>
    <n v="38.72"/>
    <n v="3003.75"/>
    <m/>
    <n v="23.319999999999993"/>
  </r>
  <r>
    <x v="3"/>
    <s v="55401"/>
    <s v="KATZ110"/>
    <x v="1"/>
    <s v="Katz / Kurinsky Philanthropic Fund"/>
    <n v="0"/>
    <n v="8329.1"/>
    <n v="-3380"/>
    <n v="93.54"/>
    <n v="-75"/>
    <n v="0"/>
    <n v="-18.75"/>
    <n v="-118.48"/>
    <n v="0"/>
    <n v="-18.75"/>
    <n v="4830.41"/>
    <m/>
    <n v="-43.69"/>
  </r>
  <r>
    <x v="3"/>
    <s v="55245"/>
    <s v="GORDON47"/>
    <x v="1"/>
    <s v="Gordon Community Fund"/>
    <n v="0"/>
    <n v="10000"/>
    <n v="0"/>
    <n v="159.06"/>
    <n v="-75"/>
    <n v="0"/>
    <n v="-20.89"/>
    <n v="-49.39"/>
    <n v="0"/>
    <n v="-20.89"/>
    <n v="10013.780000000001"/>
    <m/>
    <n v="88.78"/>
  </r>
  <r>
    <x v="3"/>
    <s v="55070"/>
    <s v="KRAKAU1"/>
    <x v="1"/>
    <s v="Krakauer Fund"/>
    <n v="0"/>
    <n v="100611.15"/>
    <n v="-21250"/>
    <n v="1344.76"/>
    <n v="-421.12"/>
    <n v="0"/>
    <n v="-194.01"/>
    <n v="-1202.6600000000001"/>
    <n v="0"/>
    <n v="-194.01"/>
    <n v="78888.12"/>
    <m/>
    <n v="-51.910000000000082"/>
  </r>
  <r>
    <x v="3"/>
    <s v="49564"/>
    <s v="JFCS3"/>
    <x v="0"/>
    <s v="JFCS of Greater Mercer County First LIFE &amp; LEGACY Endowment Fund"/>
    <n v="5987.46"/>
    <n v="0"/>
    <n v="0"/>
    <n v="125.82"/>
    <n v="-57.35"/>
    <n v="0"/>
    <n v="-3.64"/>
    <n v="-216.51"/>
    <n v="0"/>
    <n v="-3.64"/>
    <n v="5835.78"/>
    <m/>
    <n v="-94.33"/>
  </r>
  <r>
    <x v="3"/>
    <s v="49536"/>
    <s v="CHADAS1"/>
    <x v="0"/>
    <s v="Or Chadash LIFE &amp; LEGACY Endowment Fund"/>
    <n v="5960.07"/>
    <n v="5720"/>
    <n v="0"/>
    <n v="159.58000000000001"/>
    <n v="-57.09"/>
    <n v="0"/>
    <n v="-3.64"/>
    <n v="-122.97"/>
    <n v="0"/>
    <n v="-3.64"/>
    <n v="11655.95"/>
    <m/>
    <n v="32.970000000000013"/>
  </r>
  <r>
    <x v="3"/>
    <s v="49525"/>
    <s v="BETHCH1"/>
    <x v="0"/>
    <s v="Beth Chaim LIFE &amp; LEGACY Endowment Fund"/>
    <n v="5944.21"/>
    <n v="0"/>
    <n v="0"/>
    <n v="124.93"/>
    <n v="-56.93"/>
    <n v="0"/>
    <n v="-3.62"/>
    <n v="-214.96"/>
    <n v="0"/>
    <n v="-3.62"/>
    <n v="5793.63"/>
    <m/>
    <n v="-93.65"/>
  </r>
  <r>
    <x v="3"/>
    <s v="49524"/>
    <s v="ADATH1"/>
    <x v="0"/>
    <s v="Adath Israel LIFE &amp; LEGACY Endowment Fund"/>
    <n v="5937.78"/>
    <n v="0"/>
    <n v="0"/>
    <n v="124.75"/>
    <n v="-56.87"/>
    <n v="0"/>
    <n v="-3.64"/>
    <n v="-214.74"/>
    <n v="0"/>
    <n v="-3.64"/>
    <n v="5787.28"/>
    <m/>
    <n v="-93.63000000000001"/>
  </r>
  <r>
    <x v="3"/>
    <s v="49304"/>
    <s v="JEWISH28"/>
    <x v="0"/>
    <s v="Jewish Center of Princeton Endowment Fund"/>
    <n v="14524.28"/>
    <n v="56160"/>
    <n v="0"/>
    <n v="1062.69"/>
    <n v="-344.61"/>
    <n v="0"/>
    <n v="-26.65"/>
    <n v="-1400.87"/>
    <n v="0"/>
    <n v="-26.65"/>
    <n v="69974.84"/>
    <m/>
    <n v="-364.82999999999981"/>
  </r>
  <r>
    <x v="3"/>
    <s v="49253"/>
    <s v="DAVIDS14"/>
    <x v="1"/>
    <s v="The DADA Fund"/>
    <n v="16082.37"/>
    <n v="0"/>
    <n v="-1200"/>
    <n v="322.01"/>
    <n v="-152.71"/>
    <n v="0"/>
    <n v="-8.49"/>
    <n v="-590.91"/>
    <n v="0"/>
    <n v="-8.49"/>
    <n v="14452.27"/>
    <m/>
    <n v="-277.39"/>
  </r>
  <r>
    <x v="3"/>
    <s v="49131"/>
    <s v="MICHAE8"/>
    <x v="1"/>
    <s v="Manning &amp; Hoffman-Manning Charitable Fund"/>
    <n v="6145.95"/>
    <n v="0"/>
    <n v="0"/>
    <n v="127.92"/>
    <n v="-150"/>
    <n v="0"/>
    <n v="-3.65"/>
    <n v="-222.82"/>
    <n v="0"/>
    <n v="-3.65"/>
    <n v="5897.4"/>
    <m/>
    <n v="-98.55"/>
  </r>
  <r>
    <x v="3"/>
    <s v="48855"/>
    <s v="MEISEL2"/>
    <x v="1"/>
    <s v="Zachary, Ava &amp; Stella Kovner Meisel Tzedkah Fund"/>
    <n v="6768.89"/>
    <n v="0"/>
    <n v="0"/>
    <n v="141.05000000000001"/>
    <n v="-150"/>
    <n v="0"/>
    <n v="-4.05"/>
    <n v="-245.37"/>
    <n v="0"/>
    <n v="-4.05"/>
    <n v="6510.52"/>
    <m/>
    <n v="-108.36999999999999"/>
  </r>
  <r>
    <x v="3"/>
    <s v="48533"/>
    <s v="SNOW3"/>
    <x v="1"/>
    <s v="Nagelberg Philanthropic Fund"/>
    <n v="3301.69"/>
    <n v="5000"/>
    <n v="0"/>
    <n v="147.36000000000001"/>
    <n v="-150"/>
    <n v="0"/>
    <n v="15.34"/>
    <n v="-53.73"/>
    <n v="0"/>
    <n v="15.34"/>
    <n v="8260.66"/>
    <m/>
    <n v="108.97000000000003"/>
  </r>
  <r>
    <x v="3"/>
    <s v="48355"/>
    <s v="FREEMA17"/>
    <x v="1"/>
    <s v="Marsha &amp; Eliot Freeman Family Fund"/>
    <n v="50431.99"/>
    <n v="0"/>
    <n v="0"/>
    <n v="1059.75"/>
    <n v="-483.05"/>
    <n v="0"/>
    <n v="-30.85"/>
    <n v="-1823.79"/>
    <n v="0"/>
    <n v="-30.85"/>
    <n v="49154.05"/>
    <m/>
    <n v="-794.89"/>
  </r>
  <r>
    <x v="3"/>
    <s v="48196"/>
    <s v="JEWISH27"/>
    <x v="3"/>
    <s v="Jewish Community Foundation of Greater Mercer LIFE &amp; LEGACY Endowment Fund"/>
    <n v="6073.11"/>
    <n v="20930.599999999999"/>
    <n v="0"/>
    <n v="249.1"/>
    <n v="-59.4"/>
    <n v="0"/>
    <n v="-4.3099999999999996"/>
    <n v="-349.8"/>
    <n v="0"/>
    <n v="-4.3099999999999996"/>
    <n v="26839.3"/>
    <m/>
    <n v="-105.01000000000002"/>
  </r>
  <r>
    <x v="3"/>
    <s v="47872"/>
    <s v="WALDOR1"/>
    <x v="1"/>
    <s v="Berman-Waldorf Family Fund"/>
    <n v="2897.17"/>
    <n v="0"/>
    <n v="-500"/>
    <n v="51.33"/>
    <n v="-150"/>
    <n v="0"/>
    <n v="-1.05"/>
    <n v="-118.4"/>
    <n v="0"/>
    <n v="-1.05"/>
    <n v="2179.0500000000002"/>
    <m/>
    <n v="-68.12"/>
  </r>
  <r>
    <x v="3"/>
    <s v="47724"/>
    <s v="SNOW2"/>
    <x v="1"/>
    <s v="Snow - Nagelberg Philanthropic Fund"/>
    <n v="6486.11"/>
    <n v="0"/>
    <n v="0"/>
    <n v="135.08000000000001"/>
    <n v="-150"/>
    <n v="0"/>
    <n v="-3.86"/>
    <n v="-235.22"/>
    <n v="0"/>
    <n v="-3.86"/>
    <n v="6232.11"/>
    <m/>
    <n v="-103.99999999999999"/>
  </r>
  <r>
    <x v="3"/>
    <s v="47350"/>
    <s v="FELDMA18"/>
    <x v="1"/>
    <s v="Dena Feldman Fund for Tzedakah"/>
    <n v="20664.93"/>
    <n v="0"/>
    <n v="-960"/>
    <n v="425.27"/>
    <n v="-195.95"/>
    <n v="0"/>
    <n v="-11.41"/>
    <n v="-791.45"/>
    <n v="0"/>
    <n v="-11.41"/>
    <n v="19131.39"/>
    <m/>
    <n v="-377.59000000000009"/>
  </r>
  <r>
    <x v="3"/>
    <s v="47349"/>
    <s v="FRAM1"/>
    <x v="1"/>
    <s v="Harvey &amp; Carine Fram Charitable Gift Fund"/>
    <n v="17118.11"/>
    <n v="0"/>
    <n v="0"/>
    <n v="359.71"/>
    <n v="-163.96"/>
    <n v="0"/>
    <n v="-10.47"/>
    <n v="-619.03"/>
    <n v="0"/>
    <n v="-10.47"/>
    <n v="16684.36"/>
    <m/>
    <n v="-269.79000000000002"/>
  </r>
  <r>
    <x v="3"/>
    <s v="46976"/>
    <s v="DAVIDS12"/>
    <x v="1"/>
    <s v="Davidson Philanthropic Fund"/>
    <n v="19400.73"/>
    <n v="848"/>
    <n v="-600"/>
    <n v="403.8"/>
    <n v="-183.12"/>
    <n v="0"/>
    <n v="-10.86"/>
    <n v="-699.61"/>
    <n v="0"/>
    <n v="-10.86"/>
    <n v="19158.939999999999"/>
    <m/>
    <n v="-306.67"/>
  </r>
  <r>
    <x v="3"/>
    <s v="46842"/>
    <s v="FELDST4"/>
    <x v="1"/>
    <s v="Lori and Michael Feldstein Fund"/>
    <n v="44598.05"/>
    <n v="47877.72"/>
    <n v="-41733"/>
    <n v="808.12"/>
    <n v="-487.26"/>
    <n v="0"/>
    <n v="37.590000000000003"/>
    <n v="-2419.1799999999998"/>
    <n v="0"/>
    <n v="37.590000000000003"/>
    <n v="48682.04"/>
    <m/>
    <n v="-1573.47"/>
  </r>
  <r>
    <x v="3"/>
    <s v="46751"/>
    <s v="SHAKUN2"/>
    <x v="2"/>
    <s v="Beth El's Future"/>
    <n v="105477.8"/>
    <n v="7500"/>
    <n v="-4184"/>
    <n v="2211.36"/>
    <n v="-1017.94"/>
    <n v="0"/>
    <n v="-40.68"/>
    <n v="-3580.53"/>
    <n v="0"/>
    <n v="-40.68"/>
    <n v="106366.01"/>
    <m/>
    <n v="-1409.8500000000001"/>
  </r>
  <r>
    <x v="3"/>
    <s v="46630"/>
    <s v="KOHN7"/>
    <x v="0"/>
    <s v="The Richard M. Kohn Endowment Fund"/>
    <n v="474390.29"/>
    <n v="257339.42"/>
    <n v="-23524"/>
    <n v="12148.64"/>
    <n v="-5673.59"/>
    <n v="0"/>
    <n v="-684.91"/>
    <n v="-7834.42"/>
    <n v="0"/>
    <n v="-684.91"/>
    <n v="706161.43"/>
    <m/>
    <n v="3629.3099999999995"/>
  </r>
  <r>
    <x v="3"/>
    <s v="45234"/>
    <s v="LEIBOW1"/>
    <x v="1"/>
    <s v="Donald S. Leibowitz and Karen Brodsky Philanthropic Fund"/>
    <n v="71957.81"/>
    <n v="28201.13"/>
    <n v="-19812"/>
    <n v="1467.83"/>
    <n v="-675.61"/>
    <n v="0"/>
    <n v="-81.58"/>
    <n v="-1339.83"/>
    <n v="0"/>
    <n v="-81.58"/>
    <n v="79717.75"/>
    <m/>
    <n v="46.42"/>
  </r>
  <r>
    <x v="3"/>
    <s v="44365"/>
    <s v="DIAMON3"/>
    <x v="1"/>
    <s v="Rabbi James S. Diamond Memorial Fund"/>
    <n v="14014.38"/>
    <n v="1200"/>
    <n v="0"/>
    <n v="308.63"/>
    <n v="-150"/>
    <n v="0"/>
    <n v="-10.41"/>
    <n v="-500.73"/>
    <n v="0"/>
    <n v="-10.41"/>
    <n v="14861.87"/>
    <m/>
    <n v="-202.51000000000002"/>
  </r>
  <r>
    <x v="3"/>
    <s v="43836"/>
    <s v="ZLATIN1"/>
    <x v="1"/>
    <s v="Tikkun Olam Fund"/>
    <n v="2310.7199999999998"/>
    <n v="9391.14"/>
    <n v="-10240"/>
    <n v="56.11"/>
    <n v="-150"/>
    <n v="0"/>
    <n v="-7.99"/>
    <n v="194.2"/>
    <n v="0"/>
    <n v="-7.99"/>
    <n v="1554.18"/>
    <m/>
    <n v="242.32"/>
  </r>
  <r>
    <x v="3"/>
    <s v="43834"/>
    <s v="GARBER7"/>
    <x v="1"/>
    <s v="Eileen and Robert Garber Family Fund"/>
    <n v="6374.27"/>
    <n v="1000"/>
    <n v="0"/>
    <n v="148.66999999999999"/>
    <n v="-150"/>
    <n v="0"/>
    <n v="-0.36"/>
    <n v="-217.77"/>
    <n v="0"/>
    <n v="-0.36"/>
    <n v="7154.81"/>
    <m/>
    <n v="-69.460000000000022"/>
  </r>
  <r>
    <x v="3"/>
    <s v="42917"/>
    <s v="UJFPMB5"/>
    <x v="0"/>
    <s v="UJFPMB Kravitz"/>
    <n v="112296.74"/>
    <n v="0"/>
    <n v="-5568"/>
    <n v="2242.89"/>
    <n v="-1035.8399999999999"/>
    <n v="0"/>
    <n v="-65.239999999999995"/>
    <n v="-3892.71"/>
    <n v="0"/>
    <n v="-65.239999999999995"/>
    <n v="103977.84"/>
    <m/>
    <n v="-1715.0600000000002"/>
  </r>
  <r>
    <x v="3"/>
    <s v="42559"/>
    <s v="PUNIA1"/>
    <x v="3"/>
    <s v="Renee Punia Fund"/>
    <n v="116721.68"/>
    <n v="0"/>
    <n v="-5788"/>
    <n v="2331.2600000000002"/>
    <n v="-1076.6500000000001"/>
    <n v="0"/>
    <n v="-67.819999999999993"/>
    <n v="-4046.03"/>
    <n v="0"/>
    <n v="-67.819999999999993"/>
    <n v="108074.44"/>
    <m/>
    <n v="-1782.59"/>
  </r>
  <r>
    <x v="3"/>
    <s v="42558"/>
    <s v="KEHILL1"/>
    <x v="3"/>
    <s v="The Kehillah Fund"/>
    <n v="80619.42"/>
    <n v="3574"/>
    <n v="0"/>
    <n v="1774.47"/>
    <n v="0"/>
    <n v="0"/>
    <n v="-53.96"/>
    <n v="-2814.84"/>
    <n v="0"/>
    <n v="-53.96"/>
    <n v="83099.09"/>
    <m/>
    <n v="-1094.3300000000002"/>
  </r>
  <r>
    <x v="3"/>
    <s v="42557"/>
    <s v="FIF1"/>
    <x v="3"/>
    <s v="Foundation Investment Fund"/>
    <n v="108576.32000000001"/>
    <n v="137500"/>
    <n v="-123620"/>
    <n v="2479.06"/>
    <n v="0"/>
    <n v="0"/>
    <n v="-71.290000000000006"/>
    <n v="402.36"/>
    <n v="0"/>
    <n v="-71.290000000000006"/>
    <n v="125266.45"/>
    <m/>
    <n v="2810.13"/>
  </r>
  <r>
    <x v="3"/>
    <s v="42555"/>
    <s v="UJFPMB4"/>
    <x v="0"/>
    <s v="UJFPMB Julius and Dorothy Koppelman Designated Fund"/>
    <n v="555037.98"/>
    <n v="0"/>
    <n v="-65000"/>
    <n v="10595.22"/>
    <n v="-4935.5600000000004"/>
    <n v="0"/>
    <n v="-195.37"/>
    <n v="-23658.32"/>
    <n v="0"/>
    <n v="-195.37"/>
    <n v="471843.95"/>
    <m/>
    <n v="-13258.470000000001"/>
  </r>
  <r>
    <x v="3"/>
    <s v="42554"/>
    <s v="UJFPMB3"/>
    <x v="0"/>
    <s v="UJFPMB Shirley Kobak Lion of Judah Endowment Fund"/>
    <n v="92700.160000000003"/>
    <n v="0"/>
    <n v="-4597"/>
    <n v="1851.5"/>
    <n v="-855.08"/>
    <n v="0"/>
    <n v="-53.85"/>
    <n v="-3213.44"/>
    <n v="0"/>
    <n v="-53.85"/>
    <n v="85832.29"/>
    <m/>
    <n v="-1415.79"/>
  </r>
  <r>
    <x v="3"/>
    <s v="42553"/>
    <s v="UJFPMB2"/>
    <x v="0"/>
    <s v="UJFPMB Estates Fund"/>
    <n v="48461.19"/>
    <n v="0"/>
    <n v="0"/>
    <n v="1018.32"/>
    <n v="-464.16"/>
    <n v="0"/>
    <n v="-29.62"/>
    <n v="-1752.68"/>
    <n v="0"/>
    <n v="-29.62"/>
    <n v="47233.05"/>
    <m/>
    <n v="-763.98"/>
  </r>
  <r>
    <x v="3"/>
    <s v="42552"/>
    <s v="SRF1"/>
    <x v="0"/>
    <s v="Soviet Resettlement Fund"/>
    <n v="915.32"/>
    <n v="0"/>
    <n v="0"/>
    <n v="19.32"/>
    <n v="0"/>
    <n v="0"/>
    <n v="-0.56000000000000005"/>
    <n v="-33.08"/>
    <n v="0"/>
    <n v="-0.56000000000000005"/>
    <n v="901"/>
    <m/>
    <n v="-14.319999999999999"/>
  </r>
  <r>
    <x v="3"/>
    <s v="42551"/>
    <s v="PACK1"/>
    <x v="0"/>
    <s v="JFCS Pack Scholarship Fund"/>
    <n v="19182.36"/>
    <n v="0"/>
    <n v="-761"/>
    <n v="387.13"/>
    <n v="-178.3"/>
    <n v="0"/>
    <n v="-11.28"/>
    <n v="-670.7"/>
    <n v="0"/>
    <n v="-11.28"/>
    <n v="17948.21"/>
    <m/>
    <n v="-294.85000000000002"/>
  </r>
  <r>
    <x v="3"/>
    <s v="42550"/>
    <s v="AHALF1"/>
    <x v="0"/>
    <s v="AHA Sandy Light Fund"/>
    <n v="21875.24"/>
    <n v="617"/>
    <n v="-864"/>
    <n v="448.57"/>
    <n v="-205.23"/>
    <n v="0"/>
    <n v="-13.83"/>
    <n v="-716.99"/>
    <n v="0"/>
    <n v="-13.83"/>
    <n v="21140.76"/>
    <m/>
    <n v="-282.25"/>
  </r>
  <r>
    <x v="3"/>
    <s v="42549"/>
    <s v="SILK1"/>
    <x v="1"/>
    <s v="Allen and Judith Silk Philanthropic Fund"/>
    <n v="36285.919999999998"/>
    <n v="0"/>
    <n v="-11600"/>
    <n v="686.02"/>
    <n v="-344.23"/>
    <n v="0"/>
    <n v="-21.71"/>
    <n v="-1446.94"/>
    <n v="0"/>
    <n v="-21.71"/>
    <n v="23559.06"/>
    <m/>
    <n v="-782.63000000000011"/>
  </r>
  <r>
    <x v="3"/>
    <s v="42548"/>
    <s v="ROJER2"/>
    <x v="2"/>
    <s v="Goldie B. Rojer Hunger Relief Fund"/>
    <n v="54283.040000000001"/>
    <n v="0"/>
    <n v="-2154"/>
    <n v="1095.47"/>
    <n v="-504.56"/>
    <n v="0"/>
    <n v="-31.87"/>
    <n v="-1897.96"/>
    <n v="0"/>
    <n v="-31.87"/>
    <n v="50790.12"/>
    <m/>
    <n v="-834.36"/>
  </r>
  <r>
    <x v="3"/>
    <s v="42547"/>
    <s v="BERKOW5"/>
    <x v="2"/>
    <s v="Anne and Bernard Berkowitz Legacy Fund"/>
    <n v="12580.91"/>
    <n v="0"/>
    <n v="-624"/>
    <n v="250.8"/>
    <n v="-150"/>
    <n v="0"/>
    <n v="-7.27"/>
    <n v="-436.47"/>
    <n v="0"/>
    <n v="-7.27"/>
    <n v="11613.97"/>
    <m/>
    <n v="-192.94000000000003"/>
  </r>
  <r>
    <x v="3"/>
    <s v="42546"/>
    <s v="YSF1"/>
    <x v="4"/>
    <s v="Youth Scholarship Fund"/>
    <n v="5443.33"/>
    <n v="1500"/>
    <n v="0"/>
    <n v="124.71"/>
    <n v="0"/>
    <n v="0"/>
    <n v="-3.39"/>
    <n v="-163.63999999999999"/>
    <n v="0"/>
    <n v="-3.39"/>
    <n v="6901.01"/>
    <m/>
    <n v="-42.319999999999993"/>
  </r>
  <r>
    <x v="3"/>
    <s v="42545"/>
    <s v="WOLLIN1"/>
    <x v="4"/>
    <s v="Wollin Scholarship Fund"/>
    <n v="28216.54"/>
    <n v="0"/>
    <n v="-5000"/>
    <n v="485.76"/>
    <n v="-232.9"/>
    <n v="0"/>
    <n v="-14.02"/>
    <n v="-1096.95"/>
    <n v="0"/>
    <n v="-14.02"/>
    <n v="22358.43"/>
    <m/>
    <n v="-625.21"/>
  </r>
  <r>
    <x v="3"/>
    <s v="42544"/>
    <s v="UJFPMB1"/>
    <x v="4"/>
    <s v="UJFPMB Income Fund"/>
    <n v="10904.38"/>
    <n v="0"/>
    <n v="-433"/>
    <n v="219.4"/>
    <n v="-150"/>
    <n v="0"/>
    <n v="-6.35"/>
    <n v="-381.62"/>
    <n v="0"/>
    <n v="-6.35"/>
    <n v="10152.81"/>
    <m/>
    <n v="-168.57"/>
  </r>
  <r>
    <x v="3"/>
    <s v="42543"/>
    <s v="SIF1"/>
    <x v="4"/>
    <s v="Scholarship Investment Fund"/>
    <n v="26665.38"/>
    <n v="0"/>
    <n v="-1000"/>
    <n v="538.9"/>
    <n v="-247.94"/>
    <n v="0"/>
    <n v="-15.64"/>
    <n v="-979.66"/>
    <n v="0"/>
    <n v="-15.64"/>
    <n v="24961.040000000001"/>
    <m/>
    <n v="-456.4"/>
  </r>
  <r>
    <x v="3"/>
    <s v="42542"/>
    <s v="OFFNER1"/>
    <x v="2"/>
    <s v="Offner JFCS Senior Services Fund"/>
    <n v="16357.43"/>
    <n v="0"/>
    <n v="-649"/>
    <n v="330.08"/>
    <n v="-153.41"/>
    <n v="0"/>
    <n v="-9.61"/>
    <n v="-571.94000000000005"/>
    <n v="0"/>
    <n v="-9.61"/>
    <n v="15303.55"/>
    <m/>
    <n v="-251.47000000000008"/>
  </r>
  <r>
    <x v="3"/>
    <s v="42541"/>
    <s v="KLATZK2"/>
    <x v="4"/>
    <s v="Clive B. Klatzkin PACE Designated Fund"/>
    <n v="46748.46"/>
    <n v="0"/>
    <n v="0"/>
    <n v="982.34"/>
    <n v="-447.76"/>
    <n v="0"/>
    <n v="-28.59"/>
    <n v="-1690.57"/>
    <n v="0"/>
    <n v="-28.59"/>
    <n v="45563.88"/>
    <m/>
    <n v="-736.81999999999994"/>
  </r>
  <r>
    <x v="3"/>
    <s v="42540"/>
    <s v="KELSEY2"/>
    <x v="4"/>
    <s v="Harold H. Kelsey Greenwood House Fund"/>
    <n v="104063.29"/>
    <n v="0"/>
    <n v="-9125"/>
    <n v="1995.24"/>
    <n v="-931.6"/>
    <n v="0"/>
    <n v="-58.01"/>
    <n v="-3487.41"/>
    <n v="0"/>
    <n v="-58.01"/>
    <n v="92456.51"/>
    <m/>
    <n v="-1550.1799999999998"/>
  </r>
  <r>
    <x v="3"/>
    <s v="42539"/>
    <s v="KAHN7"/>
    <x v="4"/>
    <s v="Albert B. Kahn Scholarship Fund"/>
    <n v="141440.84"/>
    <n v="0"/>
    <n v="-5600"/>
    <n v="2852.14"/>
    <n v="-1312.9"/>
    <n v="0"/>
    <n v="-82.88"/>
    <n v="-5200.83"/>
    <n v="0"/>
    <n v="-82.88"/>
    <n v="132096.37"/>
    <m/>
    <n v="-2431.5700000000002"/>
  </r>
  <r>
    <x v="3"/>
    <s v="42537"/>
    <s v="GHIF1"/>
    <x v="4"/>
    <s v="Greenwood House Income Fund"/>
    <n v="11455.78"/>
    <n v="0"/>
    <n v="-455"/>
    <n v="230.61"/>
    <n v="-150"/>
    <n v="0"/>
    <n v="-6.68"/>
    <n v="-400.94"/>
    <n v="0"/>
    <n v="-6.68"/>
    <n v="10673.77"/>
    <m/>
    <n v="-177.01"/>
  </r>
  <r>
    <x v="3"/>
    <s v="42536"/>
    <s v="GLAZER2"/>
    <x v="4"/>
    <s v="Henry and Geralyn Glazer Greenwood House Scholarship Fund"/>
    <n v="37489.56"/>
    <n v="0"/>
    <n v="-1500"/>
    <n v="756.44"/>
    <n v="-347.88"/>
    <n v="0"/>
    <n v="-21.96"/>
    <n v="-1377.88"/>
    <n v="0"/>
    <n v="-21.96"/>
    <n v="34998.28"/>
    <m/>
    <n v="-643.40000000000009"/>
  </r>
  <r>
    <x v="3"/>
    <s v="42535"/>
    <s v="GARB3"/>
    <x v="4"/>
    <s v="Benjamin Garb Scholarship Fund"/>
    <n v="38046.42"/>
    <n v="0"/>
    <n v="-1400"/>
    <n v="769.47"/>
    <n v="-353.96"/>
    <n v="0"/>
    <n v="-22.38"/>
    <n v="-1397.43"/>
    <n v="0"/>
    <n v="-22.38"/>
    <n v="35642.120000000003"/>
    <m/>
    <n v="-650.34"/>
  </r>
  <r>
    <x v="3"/>
    <s v="42534"/>
    <s v="EDINIT1"/>
    <x v="4"/>
    <s v="Educational Initiative Fund"/>
    <n v="103775.76"/>
    <n v="0"/>
    <n v="-4000"/>
    <n v="2096.7600000000002"/>
    <n v="-965.42"/>
    <n v="0"/>
    <n v="-61"/>
    <n v="-3631.95"/>
    <n v="0"/>
    <n v="-61"/>
    <n v="97214.15"/>
    <m/>
    <n v="-1596.1899999999996"/>
  </r>
  <r>
    <x v="3"/>
    <s v="42533"/>
    <s v="DENBO4"/>
    <x v="4"/>
    <s v="Alexander &amp; Syble G. Denbo Penn State/Dickinson School of Law Fund"/>
    <n v="212055.93"/>
    <n v="0"/>
    <n v="-18594"/>
    <n v="4063.06"/>
    <n v="-1895.62"/>
    <n v="0"/>
    <n v="-117.97"/>
    <n v="-7485.72"/>
    <n v="0"/>
    <n v="-117.97"/>
    <n v="188025.68"/>
    <m/>
    <n v="-3540.63"/>
  </r>
  <r>
    <x v="3"/>
    <s v="42532"/>
    <s v="DENBO3"/>
    <x v="2"/>
    <s v="Alexander &amp; Syble G. Denbo JFCS Fund"/>
    <n v="1484930.43"/>
    <n v="0"/>
    <n v="-88595.69"/>
    <n v="29660.51"/>
    <n v="-12795.95"/>
    <n v="0"/>
    <n v="-823.63"/>
    <n v="-54034.05"/>
    <n v="0"/>
    <n v="-823.63"/>
    <n v="1358341.62"/>
    <m/>
    <n v="-25197.170000000006"/>
  </r>
  <r>
    <x v="3"/>
    <s v="42531"/>
    <s v="DENBO2"/>
    <x v="2"/>
    <s v="Alexander &amp; Syble G. Denbo Greenwood House Fund"/>
    <n v="1222887.54"/>
    <n v="0"/>
    <n v="-108934.96"/>
    <n v="23665.18"/>
    <n v="-10785.14"/>
    <n v="0"/>
    <n v="-655.53"/>
    <n v="-43416.46"/>
    <n v="0"/>
    <n v="-655.53"/>
    <n v="1082760.6299999999"/>
    <m/>
    <n v="-20406.809999999998"/>
  </r>
  <r>
    <x v="3"/>
    <s v="42530"/>
    <s v="DENBO1"/>
    <x v="4"/>
    <s v="Alexander Denbo School Fund"/>
    <n v="21845.040000000001"/>
    <n v="0"/>
    <n v="-892"/>
    <n v="450.45"/>
    <n v="-206.97"/>
    <n v="0"/>
    <n v="-11.95"/>
    <n v="-813.79"/>
    <n v="0"/>
    <n v="-11.95"/>
    <n v="20370.78"/>
    <m/>
    <n v="-375.28999999999996"/>
  </r>
  <r>
    <x v="3"/>
    <s v="42529"/>
    <s v="AHAPIF1"/>
    <x v="4"/>
    <s v="AHA Pooled Special Funds"/>
    <n v="2553.4299999999998"/>
    <n v="0"/>
    <n v="0"/>
    <n v="53.96"/>
    <n v="0"/>
    <n v="0"/>
    <n v="-1.6"/>
    <n v="-92.16"/>
    <n v="0"/>
    <n v="-1.6"/>
    <n v="2513.63"/>
    <m/>
    <n v="-39.799999999999997"/>
  </r>
  <r>
    <x v="3"/>
    <s v="42528"/>
    <s v="ZELTT1"/>
    <x v="1"/>
    <s v="Harold &amp; Marilyn Zeltt Charitable Fund"/>
    <n v="13752.67"/>
    <n v="0"/>
    <n v="-8827"/>
    <n v="146.19999999999999"/>
    <n v="-150"/>
    <n v="0"/>
    <n v="11.82"/>
    <n v="-524.04"/>
    <n v="0"/>
    <n v="11.82"/>
    <n v="4409.6499999999996"/>
    <m/>
    <n v="-366.02"/>
  </r>
  <r>
    <x v="3"/>
    <s v="42527"/>
    <s v="WISOTS1"/>
    <x v="1"/>
    <s v="Wisotsky Family Philanthropic Fund"/>
    <n v="2633.51"/>
    <n v="0"/>
    <n v="0"/>
    <n v="53.66"/>
    <n v="-150"/>
    <n v="0"/>
    <n v="-1.46"/>
    <n v="-96.07"/>
    <n v="0"/>
    <n v="-1.46"/>
    <n v="2439.64"/>
    <m/>
    <n v="-43.87"/>
  </r>
  <r>
    <x v="3"/>
    <s v="42525"/>
    <s v="URKEN1"/>
    <x v="1"/>
    <s v="Ernestine and Karl Urken Philanthropic Fund"/>
    <n v="14992.06"/>
    <n v="0"/>
    <n v="0"/>
    <n v="314.94"/>
    <n v="-150"/>
    <n v="0"/>
    <n v="-9.16"/>
    <n v="-542.33000000000004"/>
    <n v="0"/>
    <n v="-9.16"/>
    <n v="14605.51"/>
    <m/>
    <n v="-236.55000000000004"/>
  </r>
  <r>
    <x v="3"/>
    <s v="42524"/>
    <s v="SUCHAR1"/>
    <x v="1"/>
    <s v="Sucharow Family Charitable Fund"/>
    <n v="538033.78"/>
    <n v="194516.02"/>
    <n v="-427000"/>
    <n v="7830.45"/>
    <n v="-4468.8"/>
    <n v="0"/>
    <n v="-233.25"/>
    <n v="-4382.42"/>
    <n v="0"/>
    <n v="-233.25"/>
    <n v="304295.78000000003"/>
    <m/>
    <n v="3214.7799999999997"/>
  </r>
  <r>
    <x v="3"/>
    <s v="42523"/>
    <s v="STIX1"/>
    <x v="1"/>
    <s v="Stix Charitable Fund"/>
    <n v="200561.56"/>
    <n v="0"/>
    <n v="-20000"/>
    <n v="4095.51"/>
    <n v="-1921"/>
    <n v="0"/>
    <n v="-122.65"/>
    <n v="-7381.91"/>
    <n v="0"/>
    <n v="-122.65"/>
    <n v="175231.51"/>
    <m/>
    <n v="-3409.0499999999997"/>
  </r>
  <r>
    <x v="3"/>
    <s v="42522"/>
    <s v="SMUKLE3"/>
    <x v="1"/>
    <s v="Smukler Fund"/>
    <n v="961840.67"/>
    <n v="0"/>
    <n v="-140000"/>
    <n v="17958.77"/>
    <n v="-8518.23"/>
    <n v="0"/>
    <n v="-261.86"/>
    <n v="-35553.160000000003"/>
    <n v="0"/>
    <n v="-261.86"/>
    <n v="795466.19"/>
    <m/>
    <n v="-17856.250000000004"/>
  </r>
  <r>
    <x v="3"/>
    <s v="42520"/>
    <s v="SHECHT5"/>
    <x v="1"/>
    <s v="Shechtel Children's Fund"/>
    <n v="7163.43"/>
    <n v="0"/>
    <n v="0"/>
    <n v="149.44"/>
    <n v="-150"/>
    <n v="0"/>
    <n v="-4.29"/>
    <n v="-259.58999999999997"/>
    <n v="0"/>
    <n v="-4.29"/>
    <n v="6898.99"/>
    <m/>
    <n v="-114.43999999999998"/>
  </r>
  <r>
    <x v="3"/>
    <s v="42519"/>
    <s v="SCHWAR33"/>
    <x v="1"/>
    <s v="Judith &amp; Martin Schwartz Family Charitable Trust"/>
    <n v="105918.28"/>
    <n v="19842.63"/>
    <n v="-19935"/>
    <n v="2369.85"/>
    <n v="-1072.95"/>
    <n v="0"/>
    <n v="-58.88"/>
    <n v="-4936.21"/>
    <n v="0"/>
    <n v="-58.88"/>
    <n v="102127.72"/>
    <m/>
    <n v="-2625.2400000000002"/>
  </r>
  <r>
    <x v="3"/>
    <s v="42518"/>
    <s v="SCHNUR3"/>
    <x v="1"/>
    <s v="Schnur Family Philanthropic Fund"/>
    <n v="131615.49"/>
    <n v="0"/>
    <n v="-11000"/>
    <n v="2612.9299999999998"/>
    <n v="-1215.74"/>
    <n v="0"/>
    <n v="-61.14"/>
    <n v="-5078.82"/>
    <n v="0"/>
    <n v="-61.14"/>
    <n v="116872.72"/>
    <m/>
    <n v="-2527.0299999999997"/>
  </r>
  <r>
    <x v="3"/>
    <s v="42516"/>
    <s v="SHAKUN1"/>
    <x v="1"/>
    <s v="Shakun &amp; Devery Family Fund"/>
    <n v="10066.299999999999"/>
    <n v="4961"/>
    <n v="-3710"/>
    <n v="248.63"/>
    <n v="-150"/>
    <n v="0"/>
    <n v="-2.79"/>
    <n v="66.88"/>
    <n v="0"/>
    <n v="-2.79"/>
    <n v="11480.02"/>
    <m/>
    <n v="312.71999999999997"/>
  </r>
  <r>
    <x v="3"/>
    <s v="42515"/>
    <s v="SCHAEF7"/>
    <x v="1"/>
    <s v="Schaefer Family Philanthropic Fund"/>
    <n v="63900.82"/>
    <n v="45000"/>
    <n v="-11180"/>
    <n v="1729.42"/>
    <n v="-768.03"/>
    <n v="0"/>
    <n v="-82.05"/>
    <n v="-1985.47"/>
    <n v="0"/>
    <n v="-82.05"/>
    <n v="96614.69"/>
    <m/>
    <n v="-338.09999999999997"/>
  </r>
  <r>
    <x v="3"/>
    <s v="42514"/>
    <s v="KOHN6"/>
    <x v="2"/>
    <s v="RMK PACE Fund"/>
    <n v="100190.48"/>
    <n v="0"/>
    <n v="-4968"/>
    <n v="2001.09"/>
    <n v="-924.18"/>
    <n v="0"/>
    <n v="-58.21"/>
    <n v="-3473.08"/>
    <n v="0"/>
    <n v="-58.21"/>
    <n v="92768.1"/>
    <m/>
    <n v="-1530.2"/>
  </r>
  <r>
    <x v="3"/>
    <s v="42513"/>
    <s v="PIMLEY1"/>
    <x v="1"/>
    <s v="Oliver Jenson Pimley Tzedakah Fund"/>
    <n v="8374.15"/>
    <n v="0"/>
    <n v="0"/>
    <n v="175.04"/>
    <n v="-150"/>
    <n v="0"/>
    <n v="-5.04"/>
    <n v="-303.39"/>
    <n v="0"/>
    <n v="-5.04"/>
    <n v="8090.76"/>
    <m/>
    <n v="-133.38999999999999"/>
  </r>
  <r>
    <x v="3"/>
    <s v="42512"/>
    <s v="PERLMA8"/>
    <x v="1"/>
    <s v="Bonnie and Richard Perlman Philanthropic Fund"/>
    <n v="11388.66"/>
    <n v="0"/>
    <n v="-2275"/>
    <n v="202.51"/>
    <n v="-150"/>
    <n v="0"/>
    <n v="-1.67"/>
    <n v="-397.76"/>
    <n v="0"/>
    <n v="-1.67"/>
    <n v="8766.74"/>
    <m/>
    <n v="-196.92"/>
  </r>
  <r>
    <x v="3"/>
    <s v="42511"/>
    <s v="PERLMA7"/>
    <x v="1"/>
    <s v="B. Perlman Family Charitable Fund"/>
    <n v="7202.13"/>
    <n v="0"/>
    <n v="-6800"/>
    <n v="28.25"/>
    <n v="-150"/>
    <n v="0"/>
    <n v="5.98"/>
    <n v="-219.42"/>
    <n v="0"/>
    <n v="5.98"/>
    <n v="66.94"/>
    <m/>
    <n v="-185.19"/>
  </r>
  <r>
    <x v="3"/>
    <s v="42510"/>
    <s v="NEUMAN3"/>
    <x v="1"/>
    <s v="Jerry Neumann &amp; Naomi Richman Philanthropic Fund"/>
    <n v="73549.490000000005"/>
    <n v="24602.55"/>
    <n v="-8320"/>
    <n v="1680.81"/>
    <n v="-790.02"/>
    <n v="0"/>
    <n v="-76"/>
    <n v="-1142.3599999999999"/>
    <n v="0"/>
    <n v="-76"/>
    <n v="89504.47"/>
    <m/>
    <n v="462.45000000000005"/>
  </r>
  <r>
    <x v="3"/>
    <s v="42509"/>
    <s v="MILLER147"/>
    <x v="1"/>
    <s v="Sue Ellen and David H. Miller Family Charitable Fund"/>
    <n v="14603.04"/>
    <n v="0"/>
    <n v="0"/>
    <n v="306.72000000000003"/>
    <n v="-150"/>
    <n v="0"/>
    <n v="-8.91"/>
    <n v="-528.20000000000005"/>
    <n v="0"/>
    <n v="-8.91"/>
    <n v="14222.65"/>
    <m/>
    <n v="-230.39000000000001"/>
  </r>
  <r>
    <x v="3"/>
    <s v="42508"/>
    <s v="KLATZK1"/>
    <x v="1"/>
    <s v="Clive and Audrey Klatzkin Family Philanthropic Fund"/>
    <n v="58497.63"/>
    <n v="0"/>
    <n v="-2000"/>
    <n v="1207.4100000000001"/>
    <n v="-554.97"/>
    <n v="0"/>
    <n v="-32.44"/>
    <n v="-2278.23"/>
    <n v="0"/>
    <n v="-32.44"/>
    <n v="54839.4"/>
    <m/>
    <n v="-1103.26"/>
  </r>
  <r>
    <x v="3"/>
    <s v="42507"/>
    <s v="KALISH2"/>
    <x v="1"/>
    <s v="Peggy and Errol Kalish Philanthropic Fund"/>
    <n v="73930.75"/>
    <n v="0"/>
    <n v="0"/>
    <n v="1553.5"/>
    <n v="-708.12"/>
    <n v="0"/>
    <n v="-45.22"/>
    <n v="-2673.67"/>
    <n v="0"/>
    <n v="-45.22"/>
    <n v="72057.240000000005"/>
    <m/>
    <n v="-1165.3900000000001"/>
  </r>
  <r>
    <x v="3"/>
    <s v="42506"/>
    <s v="KAHN6"/>
    <x v="1"/>
    <s v="Kahn Family Philanthropic Fund"/>
    <n v="9376.6200000000008"/>
    <n v="11972.86"/>
    <n v="-11602"/>
    <n v="240.99"/>
    <n v="-150"/>
    <n v="0"/>
    <n v="2.1800000000000002"/>
    <n v="-590.82000000000005"/>
    <n v="0"/>
    <n v="2.1800000000000002"/>
    <n v="9249.83"/>
    <m/>
    <n v="-347.65000000000003"/>
  </r>
  <r>
    <x v="3"/>
    <s v="42505"/>
    <s v="HARRIS51"/>
    <x v="1"/>
    <s v="Sara Jane and Morris Harris Philanthropic Fund"/>
    <n v="92449"/>
    <n v="0"/>
    <n v="0"/>
    <n v="1942.65"/>
    <n v="-885.5"/>
    <n v="0"/>
    <n v="-56.53"/>
    <n v="-3343.27"/>
    <n v="0"/>
    <n v="-56.53"/>
    <n v="90106.35"/>
    <m/>
    <n v="-1457.1499999999999"/>
  </r>
  <r>
    <x v="3"/>
    <s v="42504"/>
    <s v="GOODMA11"/>
    <x v="1"/>
    <s v="Goodman Family Philanthropic Fund"/>
    <n v="34163.1"/>
    <n v="0"/>
    <n v="0"/>
    <n v="717.87"/>
    <n v="-327.22000000000003"/>
    <n v="0"/>
    <n v="-20.89"/>
    <n v="-1235.56"/>
    <n v="0"/>
    <n v="-20.89"/>
    <n v="33297.300000000003"/>
    <m/>
    <n v="-538.57999999999993"/>
  </r>
  <r>
    <x v="3"/>
    <s v="42503"/>
    <s v="GOLDMA21"/>
    <x v="1"/>
    <s v="Debby and Peter Goldman Fund"/>
    <n v="172507.55"/>
    <n v="0"/>
    <n v="0"/>
    <n v="3624.96"/>
    <n v="-1652.31"/>
    <n v="0"/>
    <n v="-105.49"/>
    <n v="-6238.52"/>
    <n v="0"/>
    <n v="-105.49"/>
    <n v="168136.19"/>
    <m/>
    <n v="-2719.05"/>
  </r>
  <r>
    <x v="3"/>
    <s v="42502"/>
    <s v="GLAZER1"/>
    <x v="1"/>
    <s v="Richard M. Glazer Philanthropic Fund"/>
    <n v="22425.03"/>
    <n v="0"/>
    <n v="-1024"/>
    <n v="454.88"/>
    <n v="-209.36"/>
    <n v="0"/>
    <n v="-12.21"/>
    <n v="-828.64"/>
    <n v="0"/>
    <n v="-12.21"/>
    <n v="20805.7"/>
    <m/>
    <n v="-385.96999999999997"/>
  </r>
  <r>
    <x v="3"/>
    <s v="42499"/>
    <s v="FELDMA13"/>
    <x v="1"/>
    <s v="Talia Feldman Fund for Tzedakah"/>
    <n v="14149.32"/>
    <n v="0"/>
    <n v="-810"/>
    <n v="288.27"/>
    <n v="-150"/>
    <n v="0"/>
    <n v="-7.47"/>
    <n v="-532.19000000000005"/>
    <n v="0"/>
    <n v="-7.47"/>
    <n v="12937.93"/>
    <m/>
    <n v="-251.39000000000007"/>
  </r>
  <r>
    <x v="3"/>
    <s v="42498"/>
    <s v="FANNIN3"/>
    <x v="1"/>
    <s v="Lillian and Arthur Fanning Memorial Fund"/>
    <n v="60833.75"/>
    <n v="0"/>
    <n v="-10800"/>
    <n v="1215.79"/>
    <n v="-573.07000000000005"/>
    <n v="0"/>
    <n v="-31.21"/>
    <n v="-2567.4"/>
    <n v="0"/>
    <n v="-31.21"/>
    <n v="48077.86"/>
    <m/>
    <n v="-1382.8200000000002"/>
  </r>
  <r>
    <x v="3"/>
    <s v="42497"/>
    <s v="FAMILA1"/>
    <x v="1"/>
    <s v="Rosalind &quot;Mimi&quot; and Aaron &quot;Poppy&quot; Familant Fund"/>
    <n v="17452.57"/>
    <n v="0"/>
    <n v="0"/>
    <n v="366.76"/>
    <n v="-167.16"/>
    <n v="0"/>
    <n v="-10.68"/>
    <n v="-631.1"/>
    <n v="0"/>
    <n v="-10.68"/>
    <n v="17010.39"/>
    <m/>
    <n v="-275.02000000000004"/>
  </r>
  <r>
    <x v="3"/>
    <s v="42496"/>
    <s v="ENTIN1"/>
    <x v="1"/>
    <s v="Sadie and Leon Entin Memorial Fund"/>
    <n v="10317.620000000001"/>
    <n v="0"/>
    <n v="-1000"/>
    <n v="195.21"/>
    <n v="-150"/>
    <n v="0"/>
    <n v="-5.62"/>
    <n v="-336.62"/>
    <n v="0"/>
    <n v="-5.62"/>
    <n v="9020.59"/>
    <m/>
    <n v="-147.03"/>
  </r>
  <r>
    <x v="3"/>
    <s v="42495"/>
    <s v="EGGER2"/>
    <x v="1"/>
    <s v="Audrey and David Egger Charitable Fund"/>
    <n v="24074.61"/>
    <n v="33678.379999999997"/>
    <n v="-28500"/>
    <n v="865.82"/>
    <n v="-398.22"/>
    <n v="0"/>
    <n v="-86.12"/>
    <n v="538.64"/>
    <n v="0"/>
    <n v="-86.12"/>
    <n v="30173.11"/>
    <m/>
    <n v="1318.3400000000001"/>
  </r>
  <r>
    <x v="3"/>
    <s v="42494"/>
    <s v="COHEN57"/>
    <x v="1"/>
    <s v="Janet and Howard Cohen Philanthropic Fund"/>
    <n v="47277.32"/>
    <n v="0"/>
    <n v="-3700"/>
    <n v="957.3"/>
    <n v="-439.85"/>
    <n v="0"/>
    <n v="-23.81"/>
    <n v="-1776.24"/>
    <n v="0"/>
    <n v="-23.81"/>
    <n v="42294.720000000001"/>
    <m/>
    <n v="-842.75"/>
  </r>
  <r>
    <x v="3"/>
    <s v="42493"/>
    <s v="BURNS15"/>
    <x v="1"/>
    <s v="Joseph Burns Fund"/>
    <n v="10279.01"/>
    <n v="2500"/>
    <n v="0"/>
    <n v="266.62"/>
    <n v="-150"/>
    <n v="0"/>
    <n v="-7.8"/>
    <n v="-449.78"/>
    <n v="0"/>
    <n v="-7.8"/>
    <n v="12438.05"/>
    <m/>
    <n v="-190.95999999999998"/>
  </r>
  <r>
    <x v="3"/>
    <s v="42492"/>
    <s v="BERMAN14"/>
    <x v="1"/>
    <s v="Ronald and Marie Berman Philanthropic Fund"/>
    <n v="19062.849999999999"/>
    <n v="0"/>
    <n v="0"/>
    <n v="400.59"/>
    <n v="-182.59"/>
    <n v="0"/>
    <n v="-11.66"/>
    <n v="-689.48"/>
    <n v="0"/>
    <n v="-11.66"/>
    <n v="18579.71"/>
    <m/>
    <n v="-300.55000000000007"/>
  </r>
  <r>
    <x v="3"/>
    <s v="42491"/>
    <s v="BERGER10"/>
    <x v="1"/>
    <s v="Samuel S. and Regina Berger Charitable Fund"/>
    <n v="41718.089999999997"/>
    <n v="0"/>
    <n v="-30000"/>
    <n v="381.53"/>
    <n v="-275.74"/>
    <n v="0"/>
    <n v="44.36"/>
    <n v="-1627.77"/>
    <n v="0"/>
    <n v="44.36"/>
    <n v="10240.469999999999"/>
    <m/>
    <n v="-1201.8800000000001"/>
  </r>
  <r>
    <x v="3"/>
    <s v="42490"/>
    <s v="AXELRO4"/>
    <x v="1"/>
    <s v="Axelrod Family Fund"/>
    <n v="75902.38"/>
    <n v="0"/>
    <n v="-8529"/>
    <n v="1445.17"/>
    <n v="-675.54"/>
    <n v="0"/>
    <n v="-45.54"/>
    <n v="-2615.31"/>
    <n v="0"/>
    <n v="-45.54"/>
    <n v="65482.16"/>
    <m/>
    <n v="-1215.6799999999998"/>
  </r>
  <r>
    <x v="3"/>
    <s v="42489"/>
    <s v="APPLES1"/>
    <x v="1"/>
    <s v="Louis Applestein Memorial Fund"/>
    <n v="25232.66"/>
    <n v="0"/>
    <n v="0"/>
    <n v="530.26"/>
    <n v="-241.67"/>
    <n v="0"/>
    <n v="-15.44"/>
    <n v="-912.5"/>
    <n v="0"/>
    <n v="-15.44"/>
    <n v="24593.31"/>
    <m/>
    <n v="-397.68"/>
  </r>
  <r>
    <x v="3"/>
    <s v="42488"/>
    <s v="ANSHEN1"/>
    <x v="1"/>
    <s v="Rose Perlman Anshen and Harold Anshen Memorial Fund"/>
    <n v="29978.9"/>
    <n v="0"/>
    <n v="-1500"/>
    <n v="606.12"/>
    <n v="-279.8"/>
    <n v="0"/>
    <n v="-14.87"/>
    <n v="-1074.45"/>
    <n v="0"/>
    <n v="-14.87"/>
    <n v="27715.9"/>
    <m/>
    <n v="-483.20000000000005"/>
  </r>
  <r>
    <x v="3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4"/>
    <s v="88609"/>
    <s v="TEMPLE47"/>
    <x v="0"/>
    <s v="Temple Beth-El's Capital Reserve Fund"/>
    <n v="0"/>
    <n v="0"/>
    <n v="0"/>
    <n v="0"/>
    <n v="0"/>
    <n v="0"/>
    <n v="0"/>
    <n v="0"/>
    <n v="0"/>
    <n v="0"/>
    <n v="0"/>
    <m/>
    <n v="0"/>
  </r>
  <r>
    <x v="4"/>
    <s v="80039"/>
    <s v="SARIF1"/>
    <x v="1"/>
    <s v="Sari Feldman Charitable Fund"/>
    <n v="0"/>
    <n v="0"/>
    <n v="0"/>
    <n v="0"/>
    <n v="0"/>
    <n v="0"/>
    <n v="0"/>
    <n v="0"/>
    <n v="0"/>
    <n v="0"/>
    <n v="0"/>
    <m/>
    <n v="0"/>
  </r>
  <r>
    <x v="4"/>
    <s v="79952"/>
    <s v="ALPERI10"/>
    <x v="1"/>
    <s v="Alperin-Sheriff Family Fund"/>
    <n v="0"/>
    <n v="0"/>
    <n v="0"/>
    <n v="0"/>
    <n v="0"/>
    <n v="0"/>
    <n v="0"/>
    <n v="0"/>
    <n v="0"/>
    <n v="0"/>
    <n v="0"/>
    <m/>
    <n v="0"/>
  </r>
  <r>
    <x v="4"/>
    <s v="79950"/>
    <s v="GLUCK13"/>
    <x v="1"/>
    <s v="Rabbi Arnold S. Gluck and Sarah R. Gluck Family Fund"/>
    <n v="0"/>
    <n v="0"/>
    <n v="0"/>
    <n v="0"/>
    <n v="0"/>
    <n v="0"/>
    <n v="0"/>
    <n v="0"/>
    <n v="0"/>
    <n v="0"/>
    <n v="0"/>
    <m/>
    <n v="0"/>
  </r>
  <r>
    <x v="4"/>
    <s v="73981"/>
    <s v="BRENT4"/>
    <x v="1"/>
    <s v="The Brent Family Fund"/>
    <n v="0"/>
    <n v="0"/>
    <n v="0"/>
    <n v="0"/>
    <n v="0"/>
    <n v="0"/>
    <n v="-7.0000000000000007E-2"/>
    <n v="0"/>
    <n v="0"/>
    <n v="-7.0000000000000007E-2"/>
    <n v="0"/>
    <m/>
    <n v="-7.0000000000000007E-2"/>
  </r>
  <r>
    <x v="4"/>
    <s v="73978"/>
    <s v="SUSSMA3"/>
    <x v="1"/>
    <s v="Sussman Schnur Gratitude Fund"/>
    <n v="0"/>
    <n v="0"/>
    <n v="0"/>
    <n v="0"/>
    <n v="0"/>
    <n v="0"/>
    <n v="0"/>
    <n v="0"/>
    <n v="0"/>
    <n v="0"/>
    <n v="0"/>
    <m/>
    <n v="0"/>
  </r>
  <r>
    <x v="4"/>
    <s v="72136"/>
    <s v="APPLES2"/>
    <x v="2"/>
    <s v="The Anice Applestein Fund"/>
    <n v="0"/>
    <n v="368306.47"/>
    <n v="0"/>
    <n v="193.75"/>
    <n v="0"/>
    <n v="0"/>
    <n v="0"/>
    <n v="-14668.15"/>
    <n v="0"/>
    <n v="0"/>
    <n v="353832.07"/>
    <m/>
    <n v="-14474.4"/>
  </r>
  <r>
    <x v="4"/>
    <s v="72135"/>
    <s v="FELDST5"/>
    <x v="1"/>
    <s v="The Ruth and Nathan Feldstein Israel Travel Scholarship"/>
    <n v="0"/>
    <n v="50000"/>
    <n v="0"/>
    <n v="26.3"/>
    <n v="0"/>
    <n v="0"/>
    <n v="0"/>
    <n v="-1991.3"/>
    <n v="0"/>
    <n v="0"/>
    <n v="48035"/>
    <m/>
    <n v="-1965"/>
  </r>
  <r>
    <x v="4"/>
    <s v="71829"/>
    <s v="DREIER2"/>
    <x v="1"/>
    <s v="Sandra H. and William A. Dreier Charitable Trust"/>
    <n v="0"/>
    <n v="100182.39999999999"/>
    <n v="0"/>
    <n v="495.4"/>
    <n v="0"/>
    <n v="0"/>
    <n v="0"/>
    <n v="475.93"/>
    <n v="0"/>
    <n v="0"/>
    <n v="101153.73"/>
    <m/>
    <n v="971.32999999999993"/>
  </r>
  <r>
    <x v="4"/>
    <s v="71543"/>
    <s v="GROSSM25"/>
    <x v="1"/>
    <s v="The Amy Marlene Grossman Memorial Fund"/>
    <n v="0"/>
    <n v="6500"/>
    <n v="0"/>
    <n v="35.28"/>
    <n v="0"/>
    <n v="0"/>
    <n v="0"/>
    <n v="112.77"/>
    <n v="0"/>
    <n v="0"/>
    <n v="6648.05"/>
    <m/>
    <n v="148.05000000000001"/>
  </r>
  <r>
    <x v="4"/>
    <s v="70511"/>
    <s v="SACHS4"/>
    <x v="1"/>
    <s v="The Renee Lisse Sachs (nee Lyszka) Charitable Contribution Fund for the Benefit of Humanity"/>
    <n v="0"/>
    <n v="8340"/>
    <n v="-118"/>
    <n v="77.680000000000007"/>
    <n v="-37.5"/>
    <n v="0"/>
    <n v="0.11"/>
    <n v="575"/>
    <n v="0"/>
    <n v="0.11"/>
    <n v="8837.2900000000009"/>
    <m/>
    <n v="652.79000000000008"/>
  </r>
  <r>
    <x v="4"/>
    <s v="70509"/>
    <s v="RUBIN18"/>
    <x v="1"/>
    <s v="Amy E. and Kenneth A. Rubin Philanthropic Fund"/>
    <n v="0"/>
    <n v="6370.58"/>
    <n v="0"/>
    <n v="69.2"/>
    <n v="-75"/>
    <n v="0"/>
    <n v="0.12"/>
    <n v="593.9"/>
    <n v="0"/>
    <n v="0.12"/>
    <n v="6958.8"/>
    <m/>
    <n v="663.22"/>
  </r>
  <r>
    <x v="4"/>
    <s v="70466"/>
    <s v="SMALL10"/>
    <x v="2"/>
    <s v="The Small Family Fund"/>
    <n v="0"/>
    <n v="18293.03"/>
    <n v="-300"/>
    <n v="194.8"/>
    <n v="-92.92"/>
    <n v="0"/>
    <n v="0.32"/>
    <n v="1353.49"/>
    <n v="0"/>
    <n v="0.32"/>
    <n v="19448.72"/>
    <m/>
    <n v="1548.61"/>
  </r>
  <r>
    <x v="4"/>
    <s v="66878"/>
    <s v="WALLAC38"/>
    <x v="2"/>
    <s v="Robin Liebmann Wallack Fund"/>
    <n v="0"/>
    <n v="194808.6"/>
    <n v="-7000"/>
    <n v="1695.54"/>
    <n v="-756.96"/>
    <n v="0"/>
    <n v="15.1"/>
    <n v="4227.3599999999997"/>
    <n v="0"/>
    <n v="15.1"/>
    <n v="192989.64"/>
    <m/>
    <n v="5938"/>
  </r>
  <r>
    <x v="4"/>
    <s v="66877"/>
    <s v="WALLAC37"/>
    <x v="2"/>
    <s v="Wallack Family Fund"/>
    <n v="0"/>
    <n v="101972.66"/>
    <n v="-21000"/>
    <n v="1393.43"/>
    <n v="-672.68"/>
    <n v="0"/>
    <n v="12.65"/>
    <n v="6409.13"/>
    <n v="0"/>
    <n v="12.65"/>
    <n v="88115.19"/>
    <m/>
    <n v="7815.21"/>
  </r>
  <r>
    <x v="4"/>
    <s v="66851"/>
    <s v="PORTER29"/>
    <x v="1"/>
    <s v="The Porter Family Donor Advised Fund"/>
    <n v="0"/>
    <n v="6000"/>
    <n v="0"/>
    <n v="113.09"/>
    <n v="-112.5"/>
    <n v="0"/>
    <n v="0.93"/>
    <n v="609.49"/>
    <n v="0.02"/>
    <n v="0.95000000000000007"/>
    <n v="6611.03"/>
    <m/>
    <n v="723.53000000000009"/>
  </r>
  <r>
    <x v="4"/>
    <s v="66850"/>
    <s v="MEYERS19"/>
    <x v="1"/>
    <s v="The Help Someone Fund"/>
    <n v="0"/>
    <n v="7100"/>
    <n v="-2080"/>
    <n v="110.47"/>
    <n v="-112.5"/>
    <n v="0"/>
    <n v="0.92"/>
    <n v="637.36"/>
    <n v="0"/>
    <n v="0.92"/>
    <n v="5656.25"/>
    <m/>
    <n v="748.75"/>
  </r>
  <r>
    <x v="4"/>
    <s v="65383"/>
    <s v="VDOR1"/>
    <x v="3"/>
    <s v="Jewish Community Foundation of Greater Mercer L'Dor V'Dor Fund"/>
    <n v="0"/>
    <n v="20300"/>
    <n v="-1800"/>
    <n v="420.55"/>
    <n v="-153.83000000000001"/>
    <n v="0"/>
    <n v="3.13"/>
    <n v="1991.29"/>
    <n v="0"/>
    <n v="3.13"/>
    <n v="20761.14"/>
    <m/>
    <n v="2414.9700000000003"/>
  </r>
  <r>
    <x v="4"/>
    <s v="65382"/>
    <s v="KRAMER24"/>
    <x v="0"/>
    <s v="JCC of the Delaware Valley - Kramer Fund Restricted"/>
    <n v="0"/>
    <n v="8500"/>
    <n v="0"/>
    <n v="188.33"/>
    <n v="-112.5"/>
    <n v="0"/>
    <n v="1.35"/>
    <n v="815.55"/>
    <n v="0"/>
    <n v="1.35"/>
    <n v="9392.73"/>
    <m/>
    <n v="1005.23"/>
  </r>
  <r>
    <x v="4"/>
    <s v="65381"/>
    <s v="SZWALB1"/>
    <x v="0"/>
    <s v="JCC of the Delaware Valley - Shelly &amp; Ben Szwalbenest Fund"/>
    <n v="0"/>
    <n v="3438"/>
    <n v="0"/>
    <n v="75.42"/>
    <n v="-112.5"/>
    <n v="0"/>
    <n v="0.55000000000000004"/>
    <n v="326.66000000000003"/>
    <n v="0"/>
    <n v="0.55000000000000004"/>
    <n v="3728.13"/>
    <m/>
    <n v="402.63000000000005"/>
  </r>
  <r>
    <x v="4"/>
    <s v="65380"/>
    <s v="COHEN105"/>
    <x v="0"/>
    <s v="JCC of the Delaware Valley - Seymour Cohen Early Childhood Fund"/>
    <n v="0"/>
    <n v="10236"/>
    <n v="0"/>
    <n v="227.02"/>
    <n v="-112.5"/>
    <n v="0"/>
    <n v="1.63"/>
    <n v="983.19"/>
    <n v="0"/>
    <n v="1.63"/>
    <n v="11335.34"/>
    <m/>
    <n v="1211.8400000000001"/>
  </r>
  <r>
    <x v="4"/>
    <s v="65379"/>
    <s v="KRAMER23"/>
    <x v="0"/>
    <s v="JCC of the Delaware Valley - Kramer Fund Interest for Cultural Activities"/>
    <n v="0"/>
    <n v="14635"/>
    <n v="0"/>
    <n v="325.12"/>
    <n v="-114.57"/>
    <n v="0"/>
    <n v="2.34"/>
    <n v="1407.92"/>
    <n v="0"/>
    <n v="2.34"/>
    <n v="16255.81"/>
    <m/>
    <n v="1735.3799999999999"/>
  </r>
  <r>
    <x v="4"/>
    <s v="65162"/>
    <s v="WINKLE17"/>
    <x v="2"/>
    <s v="Cecelia Ruth Winkler M.A.H. &amp; Paul Barry Winkler Ed. D. Endowment - Cafe Europa Fund"/>
    <n v="6229.11"/>
    <n v="1624"/>
    <n v="0"/>
    <n v="175.8"/>
    <n v="-150"/>
    <n v="0"/>
    <n v="1.26"/>
    <n v="886.97"/>
    <n v="0"/>
    <n v="1.26"/>
    <n v="8767.14"/>
    <m/>
    <n v="1064.03"/>
  </r>
  <r>
    <x v="4"/>
    <s v="64981"/>
    <s v="EMES1"/>
    <x v="0"/>
    <s v="Congregation Toras Emes Life &amp; Legacy Endowment Fund"/>
    <n v="5999.43"/>
    <n v="0"/>
    <n v="0"/>
    <n v="136.05000000000001"/>
    <n v="-84.6"/>
    <n v="0"/>
    <n v="0.97"/>
    <n v="720.13"/>
    <n v="0"/>
    <n v="0.97"/>
    <n v="6771.98"/>
    <m/>
    <n v="857.15000000000009"/>
  </r>
  <r>
    <x v="4"/>
    <s v="62677"/>
    <s v="BORKAN1"/>
    <x v="1"/>
    <s v="The Harold Borkan Fund"/>
    <n v="15876.03"/>
    <n v="9235.5"/>
    <n v="0"/>
    <n v="434.99"/>
    <n v="-189.39"/>
    <n v="0"/>
    <n v="2.75"/>
    <n v="2218.15"/>
    <n v="0"/>
    <n v="2.75"/>
    <n v="27578.03"/>
    <m/>
    <n v="2655.8900000000003"/>
  </r>
  <r>
    <x v="4"/>
    <s v="62661"/>
    <s v="HANAHA2"/>
    <x v="0"/>
    <s v="Kehilat HaNahar LIFE &amp; LEGACY Endowment Fund"/>
    <n v="6100.71"/>
    <n v="0"/>
    <n v="0"/>
    <n v="138.72999999999999"/>
    <n v="-63.84"/>
    <n v="0"/>
    <n v="0.98"/>
    <n v="734.53"/>
    <n v="0"/>
    <n v="0.98"/>
    <n v="6911.11"/>
    <m/>
    <n v="874.24"/>
  </r>
  <r>
    <x v="4"/>
    <s v="60352"/>
    <s v="TJCCA1"/>
    <x v="2"/>
    <s v="TJCCA Designated Fund"/>
    <n v="284618.17"/>
    <n v="0"/>
    <n v="0"/>
    <n v="6472.17"/>
    <n v="-2978.05"/>
    <n v="0"/>
    <n v="46.28"/>
    <n v="34267.440000000002"/>
    <n v="0"/>
    <n v="46.28"/>
    <n v="322426.01"/>
    <m/>
    <n v="40785.89"/>
  </r>
  <r>
    <x v="4"/>
    <s v="56537"/>
    <s v="UJFPMB6"/>
    <x v="0"/>
    <s v="JFPMB LIFE &amp; LEGACY Endowment Fund"/>
    <n v="6157.81"/>
    <n v="0"/>
    <n v="0"/>
    <n v="139.62"/>
    <n v="-85.85"/>
    <n v="0"/>
    <n v="1.01"/>
    <n v="739.22"/>
    <n v="0"/>
    <n v="1.01"/>
    <n v="6951.81"/>
    <m/>
    <n v="879.85"/>
  </r>
  <r>
    <x v="4"/>
    <s v="56365"/>
    <s v="FREEMA39"/>
    <x v="1"/>
    <s v="Herbert and Joan Freeman Fund"/>
    <n v="19554.61"/>
    <n v="16938.28"/>
    <n v="-21810"/>
    <n v="353.1"/>
    <n v="-194.1"/>
    <n v="0"/>
    <n v="1.72"/>
    <n v="1832.03"/>
    <n v="0.08"/>
    <n v="1.8"/>
    <n v="16675.72"/>
    <m/>
    <n v="2186.9300000000003"/>
  </r>
  <r>
    <x v="4"/>
    <s v="56131"/>
    <s v="VILKO1"/>
    <x v="1"/>
    <s v="Vilko Fund"/>
    <n v="26084.21"/>
    <n v="50088.35"/>
    <n v="-47700"/>
    <n v="784.75"/>
    <n v="-328.29"/>
    <n v="0"/>
    <n v="7.55"/>
    <n v="4549.26"/>
    <n v="0"/>
    <n v="7.55"/>
    <n v="33485.83"/>
    <m/>
    <n v="5341.56"/>
  </r>
  <r>
    <x v="4"/>
    <s v="56088"/>
    <s v="HEBREW4"/>
    <x v="0"/>
    <s v="Hebrew Free Loan Program Fund"/>
    <n v="10810.86"/>
    <n v="0"/>
    <n v="0"/>
    <n v="245.33"/>
    <n v="-150"/>
    <n v="0"/>
    <n v="1.76"/>
    <n v="1299.23"/>
    <n v="0"/>
    <n v="1.76"/>
    <n v="12207.18"/>
    <m/>
    <n v="1546.32"/>
  </r>
  <r>
    <x v="4"/>
    <s v="56037"/>
    <s v="MEISEL4"/>
    <x v="1"/>
    <s v="The Andrew, Louisa, &amp; Owen Meisel Tzedakah"/>
    <n v="7219.36"/>
    <n v="0"/>
    <n v="0"/>
    <n v="163.15"/>
    <n v="-150"/>
    <n v="0"/>
    <n v="1.1599999999999999"/>
    <n v="864.5"/>
    <n v="0"/>
    <n v="1.1599999999999999"/>
    <n v="8098.17"/>
    <m/>
    <n v="1028.8100000000002"/>
  </r>
  <r>
    <x v="4"/>
    <s v="55648"/>
    <s v="BLICK1"/>
    <x v="1"/>
    <s v="Art &amp; Lauren Blick Donor Advised Fund"/>
    <n v="3003.75"/>
    <n v="10000"/>
    <n v="-5546.57"/>
    <n v="105.9"/>
    <n v="-150"/>
    <n v="0"/>
    <n v="0.25"/>
    <n v="860.93"/>
    <n v="0"/>
    <n v="0.25"/>
    <n v="8274.26"/>
    <m/>
    <n v="967.07999999999993"/>
  </r>
  <r>
    <x v="4"/>
    <s v="55401"/>
    <s v="KATZ110"/>
    <x v="1"/>
    <s v="Katz / Kurinsky Philanthropic Fund"/>
    <n v="4830.41"/>
    <n v="6622.36"/>
    <n v="-5390"/>
    <n v="141.4"/>
    <n v="-150"/>
    <n v="0"/>
    <n v="1.1299999999999999"/>
    <n v="669.54"/>
    <n v="0"/>
    <n v="1.1299999999999999"/>
    <n v="6724.84"/>
    <m/>
    <n v="812.06999999999994"/>
  </r>
  <r>
    <x v="4"/>
    <s v="55245"/>
    <s v="GORDON47"/>
    <x v="1"/>
    <s v="Gordon Community Fund"/>
    <n v="10013.780000000001"/>
    <n v="40431.01"/>
    <n v="-27450"/>
    <n v="481.99"/>
    <n v="-249.24"/>
    <n v="0"/>
    <n v="1.34"/>
    <n v="2523.23"/>
    <n v="0.01"/>
    <n v="1.35"/>
    <n v="25752.12"/>
    <m/>
    <n v="3006.57"/>
  </r>
  <r>
    <x v="4"/>
    <s v="55070"/>
    <s v="KRAKAU1"/>
    <x v="1"/>
    <s v="Krakauer Fund"/>
    <n v="78888.12"/>
    <n v="5000"/>
    <n v="-39340"/>
    <n v="1421.4"/>
    <n v="-703.34"/>
    <n v="0"/>
    <n v="9.73"/>
    <n v="7845.73"/>
    <n v="0"/>
    <n v="9.73"/>
    <n v="53121.64"/>
    <m/>
    <n v="9276.8599999999988"/>
  </r>
  <r>
    <x v="4"/>
    <s v="49564"/>
    <s v="JFCS3"/>
    <x v="0"/>
    <s v="JFCS of Greater Mercer County First LIFE &amp; LEGACY Endowment Fund"/>
    <n v="5835.78"/>
    <n v="100"/>
    <n v="0"/>
    <n v="134.43"/>
    <n v="-61.59"/>
    <n v="0"/>
    <n v="0.97"/>
    <n v="712.46"/>
    <n v="0"/>
    <n v="0.97"/>
    <n v="6722.05"/>
    <m/>
    <n v="847.86000000000013"/>
  </r>
  <r>
    <x v="4"/>
    <s v="49536"/>
    <s v="CHADAS1"/>
    <x v="0"/>
    <s v="Or Chadash LIFE &amp; LEGACY Endowment Fund"/>
    <n v="11655.95"/>
    <n v="3324"/>
    <n v="0"/>
    <n v="266.3"/>
    <n v="-121.96"/>
    <n v="0"/>
    <n v="1.9"/>
    <n v="1270.99"/>
    <n v="0"/>
    <n v="1.9"/>
    <n v="16397.18"/>
    <m/>
    <n v="1539.19"/>
  </r>
  <r>
    <x v="4"/>
    <s v="49525"/>
    <s v="BETHCH1"/>
    <x v="0"/>
    <s v="Beth Chaim LIFE &amp; LEGACY Endowment Fund"/>
    <n v="5793.63"/>
    <n v="0"/>
    <n v="0"/>
    <n v="131.76"/>
    <n v="-60.61"/>
    <n v="0"/>
    <n v="0.94"/>
    <n v="697.49"/>
    <n v="0"/>
    <n v="0.94"/>
    <n v="6563.21"/>
    <m/>
    <n v="830.19"/>
  </r>
  <r>
    <x v="4"/>
    <s v="49524"/>
    <s v="ADATH1"/>
    <x v="0"/>
    <s v="Adath Israel LIFE &amp; LEGACY Endowment Fund"/>
    <n v="5787.28"/>
    <n v="0"/>
    <n v="0"/>
    <n v="131.6"/>
    <n v="-60.56"/>
    <n v="0"/>
    <n v="0.94"/>
    <n v="696.7"/>
    <n v="0"/>
    <n v="0.94"/>
    <n v="6555.96"/>
    <m/>
    <n v="829.24000000000012"/>
  </r>
  <r>
    <x v="4"/>
    <s v="49304"/>
    <s v="JEWISH28"/>
    <x v="0"/>
    <s v="Jewish Center of Princeton Endowment Fund"/>
    <n v="69974.84"/>
    <n v="1180"/>
    <n v="0"/>
    <n v="1610.36"/>
    <n v="-740.33"/>
    <n v="0"/>
    <n v="11.55"/>
    <n v="8516.02"/>
    <n v="0"/>
    <n v="11.55"/>
    <n v="80552.44"/>
    <m/>
    <n v="10137.93"/>
  </r>
  <r>
    <x v="4"/>
    <s v="49253"/>
    <s v="DAVIDS14"/>
    <x v="1"/>
    <s v="The DADA Fund"/>
    <n v="14452.27"/>
    <n v="0"/>
    <n v="-1200"/>
    <n v="312.31"/>
    <n v="-150"/>
    <n v="0"/>
    <n v="2.25"/>
    <n v="1662.73"/>
    <n v="0"/>
    <n v="2.25"/>
    <n v="15079.56"/>
    <m/>
    <n v="1977.29"/>
  </r>
  <r>
    <x v="4"/>
    <s v="49131"/>
    <s v="MICHAE8"/>
    <x v="1"/>
    <s v="Manning &amp; Hoffman-Manning Charitable Fund"/>
    <n v="5897.4"/>
    <n v="0"/>
    <n v="0"/>
    <n v="132.94999999999999"/>
    <n v="-150"/>
    <n v="0"/>
    <n v="0.95"/>
    <n v="704.59"/>
    <n v="0"/>
    <n v="0.95"/>
    <n v="6585.89"/>
    <m/>
    <n v="838.49"/>
  </r>
  <r>
    <x v="4"/>
    <s v="48855"/>
    <s v="MEISEL2"/>
    <x v="1"/>
    <s v="Zachary, Ava &amp; Stella Kovner Meisel Tzedkah Fund"/>
    <n v="6510.52"/>
    <n v="0"/>
    <n v="0"/>
    <n v="146.94999999999999"/>
    <n v="-150"/>
    <n v="0"/>
    <n v="1.04"/>
    <n v="778.8"/>
    <n v="0"/>
    <n v="1.04"/>
    <n v="7287.31"/>
    <m/>
    <n v="926.79"/>
  </r>
  <r>
    <x v="4"/>
    <s v="48533"/>
    <s v="SNOW3"/>
    <x v="1"/>
    <s v="Nagelberg Philanthropic Fund"/>
    <n v="8260.66"/>
    <n v="0"/>
    <n v="0"/>
    <n v="187.02"/>
    <n v="-150"/>
    <n v="0"/>
    <n v="1.33"/>
    <n v="990.56"/>
    <n v="0"/>
    <n v="1.33"/>
    <n v="9289.57"/>
    <m/>
    <n v="1178.9099999999999"/>
  </r>
  <r>
    <x v="4"/>
    <s v="48355"/>
    <s v="FREEMA17"/>
    <x v="1"/>
    <s v="Marsha &amp; Eliot Freeman Family Fund"/>
    <n v="49154.05"/>
    <n v="0"/>
    <n v="0"/>
    <n v="1117.77"/>
    <n v="-514.32000000000005"/>
    <n v="0"/>
    <n v="7.98"/>
    <n v="5918.06"/>
    <n v="0"/>
    <n v="7.98"/>
    <n v="55683.54"/>
    <m/>
    <n v="7043.8099999999995"/>
  </r>
  <r>
    <x v="4"/>
    <s v="48196"/>
    <s v="JEWISH27"/>
    <x v="3"/>
    <s v="Jewish Community Foundation of Greater Mercer LIFE &amp; LEGACY Endowment Fund"/>
    <n v="26839.3"/>
    <n v="16360"/>
    <n v="-445"/>
    <n v="615.16"/>
    <n v="-279.26"/>
    <n v="0"/>
    <n v="4.3499999999999996"/>
    <n v="2588.71"/>
    <n v="0"/>
    <n v="4.3499999999999996"/>
    <n v="45683.26"/>
    <m/>
    <n v="3208.22"/>
  </r>
  <r>
    <x v="4"/>
    <s v="47872"/>
    <s v="WALDOR1"/>
    <x v="1"/>
    <s v="Berman-Waldorf Family Fund"/>
    <n v="2179.0500000000002"/>
    <n v="2061.92"/>
    <n v="-2700"/>
    <n v="43.33"/>
    <n v="-150"/>
    <n v="0"/>
    <n v="0.3"/>
    <n v="264.51"/>
    <n v="0"/>
    <n v="0.3"/>
    <n v="1699.11"/>
    <m/>
    <n v="308.14"/>
  </r>
  <r>
    <x v="4"/>
    <s v="47724"/>
    <s v="SNOW2"/>
    <x v="1"/>
    <s v="Snow - Nagelberg Philanthropic Fund"/>
    <n v="6232.11"/>
    <n v="0"/>
    <n v="0"/>
    <n v="140.6"/>
    <n v="-150"/>
    <n v="0"/>
    <n v="1.01"/>
    <n v="745.02"/>
    <n v="0"/>
    <n v="1.01"/>
    <n v="6968.74"/>
    <m/>
    <n v="886.63"/>
  </r>
  <r>
    <x v="4"/>
    <s v="47350"/>
    <s v="FELDMA18"/>
    <x v="1"/>
    <s v="Dena Feldman Fund for Tzedakah"/>
    <n v="19131.39"/>
    <n v="0"/>
    <n v="-3080"/>
    <n v="407.81"/>
    <n v="-194.93"/>
    <n v="0"/>
    <n v="3.06"/>
    <n v="2208.83"/>
    <n v="0"/>
    <n v="3.06"/>
    <n v="18476.16"/>
    <m/>
    <n v="2619.6999999999998"/>
  </r>
  <r>
    <x v="4"/>
    <s v="47349"/>
    <s v="FRAM1"/>
    <x v="1"/>
    <s v="Harvey &amp; Carine Fram Charitable Gift Fund"/>
    <n v="16684.36"/>
    <n v="0"/>
    <n v="0"/>
    <n v="379.38"/>
    <n v="-174.58"/>
    <n v="0"/>
    <n v="2.71"/>
    <n v="2008.74"/>
    <n v="0"/>
    <n v="2.71"/>
    <n v="18900.61"/>
    <m/>
    <n v="2390.83"/>
  </r>
  <r>
    <x v="4"/>
    <s v="46976"/>
    <s v="DAVIDS12"/>
    <x v="1"/>
    <s v="Davidson Philanthropic Fund"/>
    <n v="19158.939999999999"/>
    <n v="1000"/>
    <n v="-1800"/>
    <n v="429.04"/>
    <n v="-199"/>
    <n v="0"/>
    <n v="3.02"/>
    <n v="2231.63"/>
    <n v="0"/>
    <n v="3.02"/>
    <n v="20823.63"/>
    <m/>
    <n v="2663.69"/>
  </r>
  <r>
    <x v="4"/>
    <s v="46842"/>
    <s v="FELDST4"/>
    <x v="1"/>
    <s v="Lori and Michael Feldstein Fund"/>
    <n v="48682.04"/>
    <n v="28671.63"/>
    <n v="-44975"/>
    <n v="881.45"/>
    <n v="-481.6"/>
    <n v="0"/>
    <n v="3.31"/>
    <n v="5850.82"/>
    <n v="0"/>
    <n v="3.31"/>
    <n v="38632.65"/>
    <m/>
    <n v="6735.58"/>
  </r>
  <r>
    <x v="4"/>
    <s v="46751"/>
    <s v="SHAKUN2"/>
    <x v="2"/>
    <s v="Beth El's Future"/>
    <n v="106366.01"/>
    <n v="0"/>
    <n v="-4081"/>
    <n v="2328.38"/>
    <n v="-1081.19"/>
    <n v="0"/>
    <n v="16.66"/>
    <n v="12430.62"/>
    <n v="0"/>
    <n v="16.66"/>
    <n v="115979.48"/>
    <m/>
    <n v="14775.66"/>
  </r>
  <r>
    <x v="4"/>
    <s v="46630"/>
    <s v="KOHN7"/>
    <x v="0"/>
    <s v="The Richard M. Kohn Endowment Fund"/>
    <n v="706161.43"/>
    <n v="292970"/>
    <n v="-31265"/>
    <n v="15474.7"/>
    <n v="-7145.6"/>
    <n v="0"/>
    <n v="109.86"/>
    <n v="70476.73"/>
    <n v="0"/>
    <n v="109.86"/>
    <n v="1046782.12"/>
    <m/>
    <n v="86061.29"/>
  </r>
  <r>
    <x v="4"/>
    <s v="45234"/>
    <s v="LEIBOW1"/>
    <x v="1"/>
    <s v="Donald S. Leibowitz and Karen Brodsky Philanthropic Fund"/>
    <n v="79717.75"/>
    <n v="5744"/>
    <n v="-12420"/>
    <n v="1687.11"/>
    <n v="-788.81"/>
    <n v="0"/>
    <n v="11.96"/>
    <n v="9070.41"/>
    <n v="0"/>
    <n v="11.96"/>
    <n v="83022.42"/>
    <m/>
    <n v="10769.48"/>
  </r>
  <r>
    <x v="4"/>
    <s v="44365"/>
    <s v="DIAMON3"/>
    <x v="1"/>
    <s v="Rabbi James S. Diamond Memorial Fund"/>
    <n v="14861.87"/>
    <n v="1650"/>
    <n v="-2000"/>
    <n v="343.52"/>
    <n v="-164.65"/>
    <n v="0"/>
    <n v="2.44"/>
    <n v="1846.37"/>
    <n v="0"/>
    <n v="2.44"/>
    <n v="16539.55"/>
    <m/>
    <n v="2192.33"/>
  </r>
  <r>
    <x v="4"/>
    <s v="43836"/>
    <s v="ZLATIN1"/>
    <x v="1"/>
    <s v="Tikkun Olam Fund"/>
    <n v="1554.18"/>
    <n v="9111.15"/>
    <n v="-6050"/>
    <n v="58.68"/>
    <n v="-150"/>
    <n v="0"/>
    <n v="0.23"/>
    <n v="514.17999999999995"/>
    <n v="0"/>
    <n v="0.23"/>
    <n v="5038.42"/>
    <m/>
    <n v="573.08999999999992"/>
  </r>
  <r>
    <x v="4"/>
    <s v="43834"/>
    <s v="GARBER7"/>
    <x v="1"/>
    <s v="Eileen and Robert Garber Family Fund"/>
    <n v="7154.81"/>
    <n v="1500"/>
    <n v="0"/>
    <n v="178.07"/>
    <n v="-150"/>
    <n v="0"/>
    <n v="1.19"/>
    <n v="989.63"/>
    <n v="0"/>
    <n v="1.19"/>
    <n v="9673.7000000000007"/>
    <m/>
    <n v="1168.8900000000001"/>
  </r>
  <r>
    <x v="4"/>
    <s v="42917"/>
    <s v="UJFPMB5"/>
    <x v="0"/>
    <s v="UJFPMB Kravitz"/>
    <n v="103977.84"/>
    <n v="0"/>
    <n v="-5075"/>
    <n v="2252.12"/>
    <n v="-1048.48"/>
    <n v="0"/>
    <n v="16.100000000000001"/>
    <n v="12051.65"/>
    <n v="0"/>
    <n v="16.100000000000001"/>
    <n v="112174.23"/>
    <m/>
    <n v="14319.87"/>
  </r>
  <r>
    <x v="4"/>
    <s v="42559"/>
    <s v="PUNIA1"/>
    <x v="3"/>
    <s v="Renee Punia Fund"/>
    <n v="108074.44"/>
    <n v="0"/>
    <n v="-5275"/>
    <n v="2340.86"/>
    <n v="-1089.79"/>
    <n v="0"/>
    <n v="16.739999999999998"/>
    <n v="12526.38"/>
    <n v="0"/>
    <n v="16.739999999999998"/>
    <n v="116593.63"/>
    <m/>
    <n v="14883.98"/>
  </r>
  <r>
    <x v="4"/>
    <s v="42558"/>
    <s v="KEHILL1"/>
    <x v="3"/>
    <s v="The Kehillah Fund"/>
    <n v="83099.09"/>
    <n v="0"/>
    <n v="-100"/>
    <n v="1899.08"/>
    <n v="0"/>
    <n v="0"/>
    <n v="13.57"/>
    <n v="10048.65"/>
    <n v="0"/>
    <n v="13.57"/>
    <n v="94960.39"/>
    <m/>
    <n v="11961.3"/>
  </r>
  <r>
    <x v="4"/>
    <s v="42557"/>
    <s v="FIF1"/>
    <x v="3"/>
    <s v="Foundation Investment Fund"/>
    <n v="125266.45"/>
    <n v="0"/>
    <n v="-35000"/>
    <n v="2105.42"/>
    <n v="0"/>
    <n v="0"/>
    <n v="14.93"/>
    <n v="12092.73"/>
    <n v="0"/>
    <n v="14.93"/>
    <n v="104479.53"/>
    <m/>
    <n v="14213.08"/>
  </r>
  <r>
    <x v="4"/>
    <s v="42555"/>
    <s v="UJFPMB4"/>
    <x v="0"/>
    <s v="UJFPMB Julius and Dorothy Koppelman Designated Fund"/>
    <n v="471843.95"/>
    <n v="0"/>
    <n v="-54252.31"/>
    <n v="9834.75"/>
    <n v="-4653.78"/>
    <n v="0"/>
    <n v="68.150000000000006"/>
    <n v="51931.76"/>
    <n v="0"/>
    <n v="68.150000000000006"/>
    <n v="474772.52"/>
    <m/>
    <n v="61834.66"/>
  </r>
  <r>
    <x v="4"/>
    <s v="42554"/>
    <s v="UJFPMB3"/>
    <x v="0"/>
    <s v="UJFPMB Shirley Kobak Lion of Judah Endowment Fund"/>
    <n v="85832.29"/>
    <n v="0"/>
    <n v="-4190"/>
    <n v="1859.08"/>
    <n v="-865.49"/>
    <n v="0"/>
    <n v="13.3"/>
    <n v="9948.33"/>
    <n v="0"/>
    <n v="13.3"/>
    <n v="92597.51"/>
    <m/>
    <n v="11820.71"/>
  </r>
  <r>
    <x v="4"/>
    <s v="42553"/>
    <s v="UJFPMB2"/>
    <x v="0"/>
    <s v="UJFPMB Estates Fund"/>
    <n v="47233.05"/>
    <n v="0"/>
    <n v="0"/>
    <n v="1074.05"/>
    <n v="-494.21"/>
    <n v="0"/>
    <n v="7.68"/>
    <n v="5686.77"/>
    <n v="0"/>
    <n v="7.68"/>
    <n v="53507.34"/>
    <m/>
    <n v="6768.5000000000009"/>
  </r>
  <r>
    <x v="4"/>
    <s v="42552"/>
    <s v="SRF1"/>
    <x v="0"/>
    <s v="Soviet Resettlement Fund"/>
    <n v="901"/>
    <n v="0"/>
    <n v="0"/>
    <n v="20.61"/>
    <n v="0"/>
    <n v="0"/>
    <n v="0.14000000000000001"/>
    <n v="108.96"/>
    <n v="0"/>
    <n v="0.14000000000000001"/>
    <n v="1030.71"/>
    <m/>
    <n v="129.70999999999998"/>
  </r>
  <r>
    <x v="4"/>
    <s v="42551"/>
    <s v="PACK1"/>
    <x v="0"/>
    <s v="JFCS Pack Scholarship Fund"/>
    <n v="17948.21"/>
    <n v="0"/>
    <n v="-701"/>
    <n v="392.62"/>
    <n v="-182.35"/>
    <n v="0"/>
    <n v="2.81"/>
    <n v="2096.37"/>
    <n v="0"/>
    <n v="2.81"/>
    <n v="19556.66"/>
    <m/>
    <n v="2491.7999999999997"/>
  </r>
  <r>
    <x v="4"/>
    <s v="42550"/>
    <s v="AHALF1"/>
    <x v="0"/>
    <s v="AHA Sandy Light Fund"/>
    <n v="21140.76"/>
    <n v="1270"/>
    <n v="-814"/>
    <n v="469.99"/>
    <n v="-215.06"/>
    <n v="0"/>
    <n v="3.32"/>
    <n v="2494.27"/>
    <n v="0"/>
    <n v="3.32"/>
    <n v="24349.279999999999"/>
    <m/>
    <n v="2967.5800000000004"/>
  </r>
  <r>
    <x v="4"/>
    <s v="42549"/>
    <s v="SILK1"/>
    <x v="1"/>
    <s v="Allen and Judith Silk Philanthropic Fund"/>
    <n v="23559.06"/>
    <n v="10000"/>
    <n v="-2285"/>
    <n v="552.35"/>
    <n v="-235.59"/>
    <n v="0"/>
    <n v="3.5"/>
    <n v="2826.76"/>
    <n v="0"/>
    <n v="3.5"/>
    <n v="34421.08"/>
    <m/>
    <n v="3382.61"/>
  </r>
  <r>
    <x v="4"/>
    <s v="42548"/>
    <s v="ROJER2"/>
    <x v="2"/>
    <s v="Goldie B. Rojer Hunger Relief Fund"/>
    <n v="50790.12"/>
    <n v="0"/>
    <n v="-1983"/>
    <n v="1111.08"/>
    <n v="-516.01"/>
    <n v="0"/>
    <n v="7.94"/>
    <n v="5932.48"/>
    <n v="0"/>
    <n v="7.94"/>
    <n v="55342.61"/>
    <m/>
    <n v="7051.4999999999991"/>
  </r>
  <r>
    <x v="4"/>
    <s v="42547"/>
    <s v="BERKOW5"/>
    <x v="2"/>
    <s v="Anne and Bernard Berkowitz Legacy Fund"/>
    <n v="11613.97"/>
    <n v="0"/>
    <n v="-568"/>
    <n v="251.13"/>
    <n v="-150"/>
    <n v="0"/>
    <n v="1.8"/>
    <n v="1343.91"/>
    <n v="0"/>
    <n v="1.8"/>
    <n v="12492.81"/>
    <m/>
    <n v="1596.84"/>
  </r>
  <r>
    <x v="4"/>
    <s v="42546"/>
    <s v="YSF1"/>
    <x v="4"/>
    <s v="Youth Scholarship Fund"/>
    <n v="6901.01"/>
    <n v="610"/>
    <n v="-1500"/>
    <n v="128.31"/>
    <n v="0"/>
    <n v="0"/>
    <n v="0.89"/>
    <n v="697.6"/>
    <n v="0"/>
    <n v="0.89"/>
    <n v="6837.81"/>
    <m/>
    <n v="826.80000000000007"/>
  </r>
  <r>
    <x v="4"/>
    <s v="42545"/>
    <s v="WOLLIN1"/>
    <x v="4"/>
    <s v="Wollin Scholarship Fund"/>
    <n v="22358.43"/>
    <n v="0"/>
    <n v="-5000"/>
    <n v="400.84"/>
    <n v="-195.14"/>
    <n v="0"/>
    <n v="2.84"/>
    <n v="2240.75"/>
    <n v="0"/>
    <n v="2.84"/>
    <n v="19807.72"/>
    <m/>
    <n v="2644.4300000000003"/>
  </r>
  <r>
    <x v="4"/>
    <s v="42544"/>
    <s v="UJFPMB1"/>
    <x v="4"/>
    <s v="UJFPMB Income Fund"/>
    <n v="10152.81"/>
    <n v="0"/>
    <n v="-397"/>
    <n v="221.46"/>
    <n v="-150"/>
    <n v="0"/>
    <n v="1.58"/>
    <n v="1182.8900000000001"/>
    <n v="0"/>
    <n v="1.58"/>
    <n v="11011.74"/>
    <m/>
    <n v="1405.93"/>
  </r>
  <r>
    <x v="4"/>
    <s v="42543"/>
    <s v="SIF1"/>
    <x v="4"/>
    <s v="Scholarship Investment Fund"/>
    <n v="24961.040000000001"/>
    <n v="0"/>
    <n v="-765"/>
    <n v="551.14"/>
    <n v="-255.24"/>
    <n v="0"/>
    <n v="3.94"/>
    <n v="2936.31"/>
    <n v="0"/>
    <n v="3.94"/>
    <n v="27432.19"/>
    <m/>
    <n v="3491.39"/>
  </r>
  <r>
    <x v="4"/>
    <s v="42542"/>
    <s v="OFFNER1"/>
    <x v="2"/>
    <s v="Offner JFCS Senior Services Fund"/>
    <n v="15303.55"/>
    <n v="0"/>
    <n v="-598"/>
    <n v="334.75"/>
    <n v="-155.47999999999999"/>
    <n v="0"/>
    <n v="2.4"/>
    <n v="1787.48"/>
    <n v="0"/>
    <n v="2.4"/>
    <n v="16674.7"/>
    <m/>
    <n v="2124.63"/>
  </r>
  <r>
    <x v="4"/>
    <s v="42541"/>
    <s v="KLATZK2"/>
    <x v="4"/>
    <s v="Clive B. Klatzkin PACE Designated Fund"/>
    <n v="45563.88"/>
    <n v="0"/>
    <n v="0"/>
    <n v="1036.1199999999999"/>
    <n v="-476.75"/>
    <n v="0"/>
    <n v="7.41"/>
    <n v="5485.73"/>
    <n v="0"/>
    <n v="7.41"/>
    <n v="51616.39"/>
    <m/>
    <n v="6529.2599999999993"/>
  </r>
  <r>
    <x v="4"/>
    <s v="42540"/>
    <s v="KELSEY2"/>
    <x v="4"/>
    <s v="Harold H. Kelsey Greenwood House Fund"/>
    <n v="92456.51"/>
    <n v="0"/>
    <n v="-8052"/>
    <n v="1924.26"/>
    <n v="-904.77"/>
    <n v="0"/>
    <n v="13.75"/>
    <n v="10390.49"/>
    <n v="0"/>
    <n v="13.75"/>
    <n v="95828.24"/>
    <m/>
    <n v="12328.5"/>
  </r>
  <r>
    <x v="4"/>
    <s v="42539"/>
    <s v="KAHN7"/>
    <x v="4"/>
    <s v="Albert B. Kahn Scholarship Fund"/>
    <n v="132096.37"/>
    <n v="0"/>
    <n v="-4111"/>
    <n v="2915.42"/>
    <n v="-1350.26"/>
    <n v="0"/>
    <n v="20.82"/>
    <n v="15533.22"/>
    <n v="0"/>
    <n v="20.82"/>
    <n v="145104.57"/>
    <m/>
    <n v="18469.46"/>
  </r>
  <r>
    <x v="4"/>
    <s v="42537"/>
    <s v="GHIF1"/>
    <x v="4"/>
    <s v="Greenwood House Income Fund"/>
    <n v="10673.77"/>
    <n v="0"/>
    <n v="-417"/>
    <n v="232.94"/>
    <n v="-150"/>
    <n v="0"/>
    <n v="1.67"/>
    <n v="1244.0899999999999"/>
    <n v="0"/>
    <n v="1.67"/>
    <n v="11585.47"/>
    <m/>
    <n v="1478.7"/>
  </r>
  <r>
    <x v="4"/>
    <s v="42536"/>
    <s v="GLAZER2"/>
    <x v="4"/>
    <s v="Henry and Geralyn Glazer Greenwood House Scholarship Fund"/>
    <n v="34998.28"/>
    <n v="0"/>
    <n v="-1400"/>
    <n v="766.66"/>
    <n v="-355.54"/>
    <n v="0"/>
    <n v="5.47"/>
    <n v="4115.29"/>
    <n v="0"/>
    <n v="5.47"/>
    <n v="38130.160000000003"/>
    <m/>
    <n v="4887.42"/>
  </r>
  <r>
    <x v="4"/>
    <s v="42535"/>
    <s v="GARB3"/>
    <x v="4"/>
    <s v="Benjamin Garb Scholarship Fund"/>
    <n v="35642.120000000003"/>
    <n v="0"/>
    <n v="-1099"/>
    <n v="786.78"/>
    <n v="-364.41"/>
    <n v="0"/>
    <n v="5.62"/>
    <n v="4192.01"/>
    <n v="0"/>
    <n v="5.62"/>
    <n v="39163.120000000003"/>
    <m/>
    <n v="4984.41"/>
  </r>
  <r>
    <x v="4"/>
    <s v="42534"/>
    <s v="EDINIT1"/>
    <x v="4"/>
    <s v="Educational Initiative Fund"/>
    <n v="97214.15"/>
    <n v="0"/>
    <n v="-4000"/>
    <n v="2122.12"/>
    <n v="-986.07"/>
    <n v="0"/>
    <n v="15.17"/>
    <n v="11336.22"/>
    <n v="0"/>
    <n v="15.17"/>
    <n v="105701.59"/>
    <m/>
    <n v="13473.51"/>
  </r>
  <r>
    <x v="4"/>
    <s v="42533"/>
    <s v="DENBO4"/>
    <x v="4"/>
    <s v="Alexander &amp; Syble G. Denbo Penn State/Dickinson School of Law Fund"/>
    <n v="188025.68"/>
    <n v="0"/>
    <n v="-16376"/>
    <n v="3919.93"/>
    <n v="-1840.54"/>
    <n v="0"/>
    <n v="27.98"/>
    <n v="21203.1"/>
    <n v="0"/>
    <n v="27.98"/>
    <n v="194960.15"/>
    <m/>
    <n v="25151.01"/>
  </r>
  <r>
    <x v="4"/>
    <s v="42532"/>
    <s v="DENBO3"/>
    <x v="2"/>
    <s v="Alexander &amp; Syble G. Denbo JFCS Fund"/>
    <n v="1358341.62"/>
    <n v="0"/>
    <n v="-80280.34"/>
    <n v="29432.16"/>
    <n v="-12797.99"/>
    <n v="0"/>
    <n v="211.92"/>
    <n v="156939.01"/>
    <n v="0"/>
    <n v="211.92"/>
    <n v="1451846.38"/>
    <m/>
    <n v="186583.09000000003"/>
  </r>
  <r>
    <x v="4"/>
    <s v="42531"/>
    <s v="DENBO2"/>
    <x v="2"/>
    <s v="Alexander &amp; Syble G. Denbo Greenwood House Fund"/>
    <n v="1082760.6299999999"/>
    <n v="0"/>
    <n v="-74461.38"/>
    <n v="22976.16"/>
    <n v="-10563.05"/>
    <n v="0"/>
    <n v="164.25"/>
    <n v="123519.02"/>
    <n v="0"/>
    <n v="164.25"/>
    <n v="1144395.6299999999"/>
    <m/>
    <n v="146659.43"/>
  </r>
  <r>
    <x v="4"/>
    <s v="42530"/>
    <s v="DENBO1"/>
    <x v="4"/>
    <s v="Alexander Denbo School Fund"/>
    <n v="20370.78"/>
    <n v="0"/>
    <n v="0"/>
    <n v="463.21"/>
    <n v="-213.15"/>
    <n v="0"/>
    <n v="3.32"/>
    <n v="2452.54"/>
    <n v="0"/>
    <n v="3.32"/>
    <n v="23076.7"/>
    <m/>
    <n v="2919.07"/>
  </r>
  <r>
    <x v="4"/>
    <s v="42529"/>
    <s v="AHAPIF1"/>
    <x v="4"/>
    <s v="AHA Pooled Special Funds"/>
    <n v="2513.63"/>
    <n v="0"/>
    <n v="0"/>
    <n v="57.52"/>
    <n v="0"/>
    <n v="0"/>
    <n v="0.4"/>
    <n v="304.12"/>
    <n v="0"/>
    <n v="0.4"/>
    <n v="2875.67"/>
    <m/>
    <n v="362.03999999999996"/>
  </r>
  <r>
    <x v="4"/>
    <s v="42528"/>
    <s v="ZELTT1"/>
    <x v="1"/>
    <s v="Harold &amp; Marilyn Zeltt Charitable Fund"/>
    <n v="4409.6499999999996"/>
    <n v="0"/>
    <n v="-1500"/>
    <n v="69.03"/>
    <n v="-150"/>
    <n v="0"/>
    <n v="0.48"/>
    <n v="392.01"/>
    <n v="0"/>
    <n v="0.48"/>
    <n v="3221.17"/>
    <m/>
    <n v="461.52"/>
  </r>
  <r>
    <x v="4"/>
    <s v="42527"/>
    <s v="WISOTS1"/>
    <x v="1"/>
    <s v="Wisotsky Family Philanthropic Fund"/>
    <n v="2439.64"/>
    <n v="0"/>
    <n v="-2000"/>
    <n v="19.93"/>
    <n v="-150"/>
    <n v="0"/>
    <n v="7.0000000000000007E-2"/>
    <n v="99.21"/>
    <n v="0"/>
    <n v="7.0000000000000007E-2"/>
    <n v="408.85"/>
    <m/>
    <n v="119.20999999999998"/>
  </r>
  <r>
    <x v="4"/>
    <s v="42525"/>
    <s v="URKEN1"/>
    <x v="1"/>
    <s v="Ernestine and Karl Urken Philanthropic Fund"/>
    <n v="14605.51"/>
    <n v="0"/>
    <n v="0"/>
    <n v="332.05"/>
    <n v="-153.80000000000001"/>
    <n v="0"/>
    <n v="2.38"/>
    <n v="1758.38"/>
    <n v="0"/>
    <n v="2.38"/>
    <n v="16544.52"/>
    <m/>
    <n v="2092.8100000000004"/>
  </r>
  <r>
    <x v="4"/>
    <s v="42524"/>
    <s v="SUCHAR1"/>
    <x v="1"/>
    <s v="Sucharow Family Charitable Fund"/>
    <n v="304295.78000000003"/>
    <n v="504681.43"/>
    <n v="-199000"/>
    <n v="11080.94"/>
    <n v="-4998.8500000000004"/>
    <n v="0"/>
    <n v="107.2"/>
    <n v="37375.699999999997"/>
    <n v="0"/>
    <n v="107.2"/>
    <n v="653542.19999999995"/>
    <m/>
    <n v="48563.839999999997"/>
  </r>
  <r>
    <x v="4"/>
    <s v="42523"/>
    <s v="STIX1"/>
    <x v="1"/>
    <s v="Stix Charitable Fund"/>
    <n v="175231.51"/>
    <n v="0"/>
    <n v="0"/>
    <n v="3984.74"/>
    <n v="-1833.5"/>
    <n v="0"/>
    <n v="28.46"/>
    <n v="21097.58"/>
    <n v="0.04"/>
    <n v="28.5"/>
    <n v="198508.83"/>
    <m/>
    <n v="25110.82"/>
  </r>
  <r>
    <x v="4"/>
    <s v="42522"/>
    <s v="SMUKLE3"/>
    <x v="1"/>
    <s v="Smukler Fund"/>
    <n v="795466.19"/>
    <n v="0"/>
    <n v="-5000"/>
    <n v="18051.310000000001"/>
    <n v="-8307.7999999999993"/>
    <n v="0"/>
    <n v="129.05000000000001"/>
    <n v="95582.16"/>
    <n v="0"/>
    <n v="129.05000000000001"/>
    <n v="895920.91"/>
    <m/>
    <n v="113762.52"/>
  </r>
  <r>
    <x v="4"/>
    <s v="42520"/>
    <s v="SHECHT5"/>
    <x v="1"/>
    <s v="Shechtel Children's Fund"/>
    <n v="6898.99"/>
    <n v="0"/>
    <n v="-2500"/>
    <n v="110.54"/>
    <n v="-150"/>
    <n v="0"/>
    <n v="0.73"/>
    <n v="583.19000000000005"/>
    <n v="0"/>
    <n v="0.73"/>
    <n v="4943.45"/>
    <m/>
    <n v="694.46"/>
  </r>
  <r>
    <x v="4"/>
    <s v="42519"/>
    <s v="SCHWAR33"/>
    <x v="1"/>
    <s v="Judith &amp; Martin Schwartz Family Charitable Trust"/>
    <n v="102127.72"/>
    <n v="26907.5"/>
    <n v="-19160"/>
    <n v="2345.19"/>
    <n v="-1070.17"/>
    <n v="0"/>
    <n v="15.79"/>
    <n v="12069"/>
    <n v="0"/>
    <n v="15.79"/>
    <n v="123235.03"/>
    <m/>
    <n v="14429.980000000001"/>
  </r>
  <r>
    <x v="4"/>
    <s v="42518"/>
    <s v="SCHNUR3"/>
    <x v="1"/>
    <s v="Schnur Family Philanthropic Fund"/>
    <n v="116872.72"/>
    <n v="0"/>
    <n v="-5000"/>
    <n v="2608.79"/>
    <n v="-1210.3"/>
    <n v="0"/>
    <n v="18.920000000000002"/>
    <n v="13923.9"/>
    <n v="0"/>
    <n v="18.920000000000002"/>
    <n v="127214.03"/>
    <m/>
    <n v="16551.609999999997"/>
  </r>
  <r>
    <x v="4"/>
    <s v="42516"/>
    <s v="SHAKUN1"/>
    <x v="1"/>
    <s v="Shakun &amp; Devery Family Fund"/>
    <n v="11480.02"/>
    <n v="40537.620000000003"/>
    <n v="-21700"/>
    <n v="474.26"/>
    <n v="-210.32"/>
    <n v="0"/>
    <n v="1.08"/>
    <n v="2026.07"/>
    <n v="0"/>
    <n v="1.08"/>
    <n v="32608.73"/>
    <m/>
    <n v="2501.41"/>
  </r>
  <r>
    <x v="4"/>
    <s v="42515"/>
    <s v="SCHAEF7"/>
    <x v="1"/>
    <s v="Schaefer Family Philanthropic Fund"/>
    <n v="96614.69"/>
    <n v="42971.58"/>
    <n v="-56680"/>
    <n v="1815.1"/>
    <n v="-979.4"/>
    <n v="0"/>
    <n v="11.7"/>
    <n v="10702.44"/>
    <n v="0"/>
    <n v="11.7"/>
    <n v="94456.11"/>
    <m/>
    <n v="12529.240000000002"/>
  </r>
  <r>
    <x v="4"/>
    <s v="42514"/>
    <s v="KOHN6"/>
    <x v="2"/>
    <s v="RMK PACE Fund"/>
    <n v="92768.1"/>
    <n v="0"/>
    <n v="-4528"/>
    <n v="2009.3"/>
    <n v="-935.44"/>
    <n v="0"/>
    <n v="14.37"/>
    <n v="10752.34"/>
    <n v="0"/>
    <n v="14.37"/>
    <n v="100080.67"/>
    <m/>
    <n v="12776.01"/>
  </r>
  <r>
    <x v="4"/>
    <s v="42513"/>
    <s v="PIMLEY1"/>
    <x v="1"/>
    <s v="Oliver Jenson Pimley Tzedakah Fund"/>
    <n v="8090.76"/>
    <n v="0"/>
    <n v="0"/>
    <n v="183.12"/>
    <n v="-150"/>
    <n v="0"/>
    <n v="1.32"/>
    <n v="970.05"/>
    <n v="0"/>
    <n v="1.32"/>
    <n v="9095.25"/>
    <m/>
    <n v="1154.49"/>
  </r>
  <r>
    <x v="4"/>
    <s v="42512"/>
    <s v="PERLMA8"/>
    <x v="1"/>
    <s v="Bonnie and Richard Perlman Philanthropic Fund"/>
    <n v="8766.74"/>
    <n v="0"/>
    <n v="-750"/>
    <n v="185.54"/>
    <n v="-150"/>
    <n v="0"/>
    <n v="1.31"/>
    <n v="968.13"/>
    <n v="0"/>
    <n v="1.31"/>
    <n v="9021.7199999999993"/>
    <m/>
    <n v="1154.98"/>
  </r>
  <r>
    <x v="4"/>
    <s v="42511"/>
    <s v="PERLMA7"/>
    <x v="1"/>
    <s v="B. Perlman Family Charitable Fund"/>
    <n v="66.94"/>
    <n v="10000"/>
    <n v="-6650"/>
    <n v="116.75"/>
    <n v="-150"/>
    <n v="0"/>
    <n v="0.91"/>
    <n v="486.12"/>
    <n v="0"/>
    <n v="0.91"/>
    <n v="3870.72"/>
    <m/>
    <n v="603.78"/>
  </r>
  <r>
    <x v="4"/>
    <s v="42510"/>
    <s v="NEUMAN3"/>
    <x v="1"/>
    <s v="Jerry Neumann &amp; Naomi Richman Philanthropic Fund"/>
    <n v="89504.47"/>
    <n v="30203.119999999999"/>
    <n v="-10050"/>
    <n v="2200.63"/>
    <n v="-1040.77"/>
    <n v="0"/>
    <n v="14.09"/>
    <n v="12751.48"/>
    <n v="0"/>
    <n v="14.09"/>
    <n v="123583.02"/>
    <m/>
    <n v="14966.2"/>
  </r>
  <r>
    <x v="4"/>
    <s v="42509"/>
    <s v="MILLER147"/>
    <x v="1"/>
    <s v="Sue Ellen and David H. Miller Family Charitable Fund"/>
    <n v="14222.65"/>
    <n v="0"/>
    <n v="0"/>
    <n v="323.36"/>
    <n v="-151.58000000000001"/>
    <n v="0"/>
    <n v="2.31"/>
    <n v="1712.18"/>
    <n v="0"/>
    <n v="2.31"/>
    <n v="16108.92"/>
    <m/>
    <n v="2037.85"/>
  </r>
  <r>
    <x v="4"/>
    <s v="42508"/>
    <s v="KLATZK1"/>
    <x v="1"/>
    <s v="Clive and Audrey Klatzkin Family Philanthropic Fund"/>
    <n v="54839.4"/>
    <n v="0"/>
    <n v="-2000"/>
    <n v="1225.72"/>
    <n v="-568.6"/>
    <n v="0"/>
    <n v="8.8699999999999992"/>
    <n v="6472.96"/>
    <n v="0"/>
    <n v="8.8699999999999992"/>
    <n v="59978.35"/>
    <m/>
    <n v="7707.55"/>
  </r>
  <r>
    <x v="4"/>
    <s v="42507"/>
    <s v="KALISH2"/>
    <x v="1"/>
    <s v="Peggy and Errol Kalish Philanthropic Fund"/>
    <n v="72057.240000000005"/>
    <n v="0"/>
    <n v="0"/>
    <n v="1638.54"/>
    <n v="-753.95"/>
    <n v="0"/>
    <n v="11.72"/>
    <n v="8675.5300000000007"/>
    <n v="0"/>
    <n v="11.72"/>
    <n v="81629.08"/>
    <m/>
    <n v="10325.789999999999"/>
  </r>
  <r>
    <x v="4"/>
    <s v="42506"/>
    <s v="KAHN6"/>
    <x v="1"/>
    <s v="Kahn Family Philanthropic Fund"/>
    <n v="9249.83"/>
    <n v="15075.57"/>
    <n v="-11450"/>
    <n v="211.77"/>
    <n v="-150"/>
    <n v="0"/>
    <n v="0.24"/>
    <n v="1426.1"/>
    <n v="0"/>
    <n v="0.24"/>
    <n v="14363.51"/>
    <m/>
    <n v="1638.11"/>
  </r>
  <r>
    <x v="4"/>
    <s v="42505"/>
    <s v="HARRIS51"/>
    <x v="1"/>
    <s v="Sara Jane and Morris Harris Philanthropic Fund"/>
    <n v="90106.35"/>
    <n v="0"/>
    <n v="0"/>
    <n v="2048.9899999999998"/>
    <n v="-942.81"/>
    <n v="0"/>
    <n v="14.66"/>
    <n v="10848.62"/>
    <n v="0"/>
    <n v="14.66"/>
    <n v="102075.81"/>
    <m/>
    <n v="12912.27"/>
  </r>
  <r>
    <x v="4"/>
    <s v="42504"/>
    <s v="GOODMA11"/>
    <x v="1"/>
    <s v="Goodman Family Philanthropic Fund"/>
    <n v="33297.300000000003"/>
    <n v="0"/>
    <n v="0"/>
    <n v="757.16"/>
    <n v="-348.4"/>
    <n v="0"/>
    <n v="5.41"/>
    <n v="4008.93"/>
    <n v="0"/>
    <n v="5.41"/>
    <n v="37720.400000000001"/>
    <m/>
    <n v="4771.5"/>
  </r>
  <r>
    <x v="4"/>
    <s v="42503"/>
    <s v="GOLDMA21"/>
    <x v="1"/>
    <s v="Debby and Peter Goldman Fund"/>
    <n v="168136.19"/>
    <n v="0"/>
    <n v="0"/>
    <n v="3823.38"/>
    <n v="-1759.27"/>
    <n v="0"/>
    <n v="27.35"/>
    <n v="20243.25"/>
    <n v="0"/>
    <n v="27.35"/>
    <n v="190470.9"/>
    <m/>
    <n v="24093.98"/>
  </r>
  <r>
    <x v="4"/>
    <s v="42502"/>
    <s v="GLAZER1"/>
    <x v="1"/>
    <s v="Richard M. Glazer Philanthropic Fund"/>
    <n v="20805.7"/>
    <n v="0"/>
    <n v="0"/>
    <n v="473.09"/>
    <n v="-217.69"/>
    <n v="0"/>
    <n v="3.38"/>
    <n v="2504.92"/>
    <n v="0"/>
    <n v="3.38"/>
    <n v="23569.4"/>
    <m/>
    <n v="2981.3900000000003"/>
  </r>
  <r>
    <x v="4"/>
    <s v="42499"/>
    <s v="FELDMA13"/>
    <x v="1"/>
    <s v="Talia Feldman Fund for Tzedakah"/>
    <n v="12937.93"/>
    <n v="0"/>
    <n v="-2640"/>
    <n v="250.27"/>
    <n v="-150"/>
    <n v="0"/>
    <n v="1.7"/>
    <n v="1322.56"/>
    <n v="0"/>
    <n v="1.7"/>
    <n v="11722.46"/>
    <m/>
    <n v="1574.53"/>
  </r>
  <r>
    <x v="4"/>
    <s v="42498"/>
    <s v="FANNIN3"/>
    <x v="1"/>
    <s v="Lillian and Arthur Fanning Memorial Fund"/>
    <n v="48077.86"/>
    <n v="0"/>
    <n v="-5400"/>
    <n v="1040.51"/>
    <n v="-489.47"/>
    <n v="0"/>
    <n v="7.72"/>
    <n v="5629.47"/>
    <n v="0"/>
    <n v="7.72"/>
    <n v="48866.09"/>
    <m/>
    <n v="6677.7000000000007"/>
  </r>
  <r>
    <x v="4"/>
    <s v="42497"/>
    <s v="FAMILA1"/>
    <x v="1"/>
    <s v="Rosalind &quot;Mimi&quot; and Aaron &quot;Poppy&quot; Familant Fund"/>
    <n v="17010.39"/>
    <n v="0"/>
    <n v="-500"/>
    <n v="377.75"/>
    <n v="-174.1"/>
    <n v="0"/>
    <n v="2.69"/>
    <n v="1999.72"/>
    <n v="0"/>
    <n v="2.69"/>
    <n v="18716.45"/>
    <m/>
    <n v="2380.1600000000003"/>
  </r>
  <r>
    <x v="4"/>
    <s v="42496"/>
    <s v="ENTIN1"/>
    <x v="1"/>
    <s v="Sadie and Leon Entin Memorial Fund"/>
    <n v="9020.59"/>
    <n v="0"/>
    <n v="-500"/>
    <n v="193.92"/>
    <n v="-150"/>
    <n v="0"/>
    <n v="1.39"/>
    <n v="1047.1500000000001"/>
    <n v="0"/>
    <n v="1.39"/>
    <n v="9613.0499999999993"/>
    <m/>
    <n v="1242.4600000000003"/>
  </r>
  <r>
    <x v="4"/>
    <s v="42495"/>
    <s v="EGGER2"/>
    <x v="1"/>
    <s v="Audrey and David Egger Charitable Fund"/>
    <n v="30173.11"/>
    <n v="0"/>
    <n v="-17500"/>
    <n v="405.51"/>
    <n v="-228.66"/>
    <n v="0"/>
    <n v="2.16"/>
    <n v="2118.9"/>
    <n v="0"/>
    <n v="2.16"/>
    <n v="14971.02"/>
    <m/>
    <n v="2526.5699999999997"/>
  </r>
  <r>
    <x v="4"/>
    <s v="42494"/>
    <s v="COHEN57"/>
    <x v="1"/>
    <s v="Janet and Howard Cohen Philanthropic Fund"/>
    <n v="42294.720000000001"/>
    <n v="0"/>
    <n v="0"/>
    <n v="961.77"/>
    <n v="-442.55"/>
    <n v="0"/>
    <n v="6.88"/>
    <n v="5092.2"/>
    <n v="0"/>
    <n v="6.88"/>
    <n v="47913.02"/>
    <m/>
    <n v="6060.8499999999995"/>
  </r>
  <r>
    <x v="4"/>
    <s v="42493"/>
    <s v="BURNS15"/>
    <x v="1"/>
    <s v="Joseph Burns Fund"/>
    <n v="12438.05"/>
    <n v="2500"/>
    <n v="0"/>
    <n v="309.81"/>
    <n v="-153.29"/>
    <n v="0"/>
    <n v="2.0699999999999998"/>
    <n v="1717.37"/>
    <n v="0"/>
    <n v="2.0699999999999998"/>
    <n v="16814.009999999998"/>
    <m/>
    <n v="2029.2499999999998"/>
  </r>
  <r>
    <x v="4"/>
    <s v="42492"/>
    <s v="BERMAN14"/>
    <x v="1"/>
    <s v="Ronald and Marie Berman Philanthropic Fund"/>
    <n v="18579.71"/>
    <n v="0"/>
    <n v="-400"/>
    <n v="416.61"/>
    <n v="-192.36"/>
    <n v="0"/>
    <n v="2.95"/>
    <n v="2209.08"/>
    <n v="0"/>
    <n v="2.95"/>
    <n v="20615.990000000002"/>
    <m/>
    <n v="2628.64"/>
  </r>
  <r>
    <x v="4"/>
    <s v="42491"/>
    <s v="BERGER10"/>
    <x v="1"/>
    <s v="Samuel S. and Regina Berger Charitable Fund"/>
    <n v="10240.469999999999"/>
    <n v="0"/>
    <n v="0"/>
    <n v="232.25"/>
    <n v="-150"/>
    <n v="0"/>
    <n v="1.67"/>
    <n v="1230.24"/>
    <n v="0"/>
    <n v="1.67"/>
    <n v="11554.63"/>
    <m/>
    <n v="1464.16"/>
  </r>
  <r>
    <x v="4"/>
    <s v="42490"/>
    <s v="AXELRO4"/>
    <x v="1"/>
    <s v="Axelrod Family Fund"/>
    <n v="65482.16"/>
    <n v="0"/>
    <n v="-10900"/>
    <n v="1314.92"/>
    <n v="-618.13"/>
    <n v="0"/>
    <n v="9.3699999999999992"/>
    <n v="7005.53"/>
    <n v="0"/>
    <n v="9.3699999999999992"/>
    <n v="62293.85"/>
    <m/>
    <n v="8329.8200000000015"/>
  </r>
  <r>
    <x v="4"/>
    <s v="42489"/>
    <s v="APPLES1"/>
    <x v="1"/>
    <s v="Louis Applestein Memorial Fund"/>
    <n v="24593.31"/>
    <n v="0"/>
    <n v="0"/>
    <n v="559.21"/>
    <n v="-257.33"/>
    <n v="0"/>
    <n v="3.99"/>
    <n v="2960.94"/>
    <n v="0"/>
    <n v="3.99"/>
    <n v="27860.12"/>
    <m/>
    <n v="3524.14"/>
  </r>
  <r>
    <x v="4"/>
    <s v="42488"/>
    <s v="ANSHEN1"/>
    <x v="1"/>
    <s v="Rose Perlman Anshen and Harold Anshen Memorial Fund"/>
    <n v="27715.9"/>
    <n v="0"/>
    <n v="-2000"/>
    <n v="595.58000000000004"/>
    <n v="-279.61"/>
    <n v="0"/>
    <n v="4.2"/>
    <n v="3167.81"/>
    <n v="0"/>
    <n v="4.2"/>
    <n v="29203.88"/>
    <m/>
    <n v="3767.5899999999997"/>
  </r>
  <r>
    <x v="4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5"/>
    <s v="88609"/>
    <s v="TEMPLE47"/>
    <x v="0"/>
    <s v="Temple Beth-El's Capital Reserve Fund"/>
    <n v="0"/>
    <n v="106059.47"/>
    <n v="0"/>
    <n v="552.54"/>
    <n v="0"/>
    <n v="0"/>
    <n v="0"/>
    <n v="-2064.1799999999998"/>
    <n v="0"/>
    <n v="0"/>
    <n v="104547.83"/>
    <m/>
    <n v="-1511.6399999999999"/>
  </r>
  <r>
    <x v="5"/>
    <s v="80039"/>
    <s v="SARIF1"/>
    <x v="1"/>
    <s v="Sari Feldman Charitable Fund"/>
    <n v="0"/>
    <n v="4500"/>
    <n v="0"/>
    <n v="46.67"/>
    <n v="-37.5"/>
    <n v="0"/>
    <n v="0.26"/>
    <n v="-167.02"/>
    <n v="-0.19"/>
    <n v="7.0000000000000007E-2"/>
    <n v="4342.22"/>
    <m/>
    <n v="-120.28000000000002"/>
  </r>
  <r>
    <x v="5"/>
    <s v="79952"/>
    <s v="ALPERI10"/>
    <x v="1"/>
    <s v="Alperin-Sheriff Family Fund"/>
    <n v="0"/>
    <n v="26000"/>
    <n v="0"/>
    <n v="218.51"/>
    <n v="-37.5"/>
    <n v="0"/>
    <n v="0.8"/>
    <n v="-856.71"/>
    <n v="-0.55000000000000004"/>
    <n v="0.25"/>
    <n v="25324.55"/>
    <m/>
    <n v="-637.95000000000005"/>
  </r>
  <r>
    <x v="5"/>
    <s v="79950"/>
    <s v="GLUCK13"/>
    <x v="1"/>
    <s v="Rabbi Arnold S. Gluck and Sarah R. Gluck Family Fund"/>
    <n v="0"/>
    <n v="10473"/>
    <n v="-2600"/>
    <n v="94.56"/>
    <n v="-75"/>
    <n v="0"/>
    <n v="61.35"/>
    <n v="-289.45999999999998"/>
    <n v="-0.31"/>
    <n v="61.04"/>
    <n v="7664.14"/>
    <m/>
    <n v="-133.85999999999999"/>
  </r>
  <r>
    <x v="5"/>
    <s v="73981"/>
    <s v="BRENT4"/>
    <x v="1"/>
    <s v="The Brent Family Fund"/>
    <n v="0"/>
    <n v="20000"/>
    <n v="-4440"/>
    <n v="245.53"/>
    <n v="-83.56"/>
    <n v="0"/>
    <n v="1.34"/>
    <n v="-295.27999999999997"/>
    <n v="-0.68"/>
    <n v="0.66"/>
    <n v="15427.35"/>
    <m/>
    <n v="-49.089999999999975"/>
  </r>
  <r>
    <x v="5"/>
    <s v="73978"/>
    <s v="SUSSMA3"/>
    <x v="1"/>
    <s v="Sussman Schnur Gratitude Fund"/>
    <n v="0"/>
    <n v="24236.54"/>
    <n v="-10000"/>
    <n v="253.79"/>
    <n v="-75"/>
    <n v="0"/>
    <n v="1.29"/>
    <n v="95.65"/>
    <n v="-0.56000000000000005"/>
    <n v="0.73"/>
    <n v="14511.71"/>
    <m/>
    <n v="350.17"/>
  </r>
  <r>
    <x v="5"/>
    <s v="72136"/>
    <s v="APPLES2"/>
    <x v="2"/>
    <s v="The Anice Applestein Fund"/>
    <n v="353832.07"/>
    <n v="13746.76"/>
    <n v="-3538"/>
    <n v="8722.15"/>
    <n v="-2842.18"/>
    <n v="0"/>
    <n v="33.729999999999997"/>
    <n v="19758.599999999999"/>
    <n v="-14.27"/>
    <n v="19.459999999999997"/>
    <n v="389698.86"/>
    <m/>
    <n v="28500.21"/>
  </r>
  <r>
    <x v="5"/>
    <s v="72135"/>
    <s v="FELDST5"/>
    <x v="1"/>
    <s v="The Ruth and Nathan Feldstein Israel Travel Scholarship"/>
    <n v="48035"/>
    <n v="500"/>
    <n v="-500"/>
    <n v="1168.22"/>
    <n v="-382.57"/>
    <n v="0"/>
    <n v="4.4800000000000004"/>
    <n v="2681.37"/>
    <n v="-1.89"/>
    <n v="2.5900000000000007"/>
    <n v="51504.61"/>
    <m/>
    <n v="3852.1800000000003"/>
  </r>
  <r>
    <x v="5"/>
    <s v="71829"/>
    <s v="DREIER2"/>
    <x v="1"/>
    <s v="Sandra H. and William A. Dreier Charitable Trust"/>
    <n v="101153.73"/>
    <n v="0"/>
    <n v="0"/>
    <n v="2465.2600000000002"/>
    <n v="-805.82"/>
    <n v="0"/>
    <n v="9.4600000000000009"/>
    <n v="5672.87"/>
    <n v="-3.99"/>
    <n v="5.4700000000000006"/>
    <n v="108491.51"/>
    <m/>
    <n v="8143.6"/>
  </r>
  <r>
    <x v="5"/>
    <s v="71543"/>
    <s v="GROSSM25"/>
    <x v="1"/>
    <s v="The Amy Marlene Grossman Memorial Fund"/>
    <n v="6648.05"/>
    <n v="3260"/>
    <n v="-810"/>
    <n v="172.39"/>
    <n v="-150"/>
    <n v="0"/>
    <n v="0.64"/>
    <n v="362.69"/>
    <n v="-0.28000000000000003"/>
    <n v="0.36"/>
    <n v="9483.49"/>
    <m/>
    <n v="535.43999999999994"/>
  </r>
  <r>
    <x v="5"/>
    <s v="70511"/>
    <s v="SACHS4"/>
    <x v="1"/>
    <s v="The Renee Lisse Sachs (nee Lyszka) Charitable Contribution Fund for the Benefit of Humanity"/>
    <n v="8837.2900000000009"/>
    <n v="9118"/>
    <n v="-6113"/>
    <n v="266.08999999999997"/>
    <n v="-150"/>
    <n v="0"/>
    <n v="1.02"/>
    <n v="596.19000000000005"/>
    <n v="-0.49"/>
    <n v="0.53"/>
    <n v="12555.1"/>
    <m/>
    <n v="862.81"/>
  </r>
  <r>
    <x v="5"/>
    <s v="70509"/>
    <s v="RUBIN18"/>
    <x v="1"/>
    <s v="Amy E. and Kenneth A. Rubin Philanthropic Fund"/>
    <n v="6958.8"/>
    <n v="2500"/>
    <n v="-800"/>
    <n v="189.31"/>
    <n v="-150"/>
    <n v="0"/>
    <n v="0.79"/>
    <n v="309.5"/>
    <n v="-0.37"/>
    <n v="0.42000000000000004"/>
    <n v="9008.0300000000007"/>
    <m/>
    <n v="499.23"/>
  </r>
  <r>
    <x v="5"/>
    <s v="70466"/>
    <s v="SMALL10"/>
    <x v="2"/>
    <s v="The Small Family Fund"/>
    <n v="19448.72"/>
    <n v="0"/>
    <n v="-1225"/>
    <n v="457.74"/>
    <n v="-198.9"/>
    <n v="0"/>
    <n v="1.78"/>
    <n v="1081.51"/>
    <n v="-0.76"/>
    <n v="1.02"/>
    <n v="19565.09"/>
    <m/>
    <n v="1540.27"/>
  </r>
  <r>
    <x v="5"/>
    <s v="66878"/>
    <s v="WALLAC38"/>
    <x v="2"/>
    <s v="Robin Liebmann Wallack Fund"/>
    <n v="192989.64"/>
    <n v="0"/>
    <n v="-7000"/>
    <n v="4531.3599999999997"/>
    <n v="-1961.41"/>
    <n v="0"/>
    <n v="17.38"/>
    <n v="10545.35"/>
    <n v="-7.34"/>
    <n v="10.039999999999999"/>
    <n v="199114.98"/>
    <m/>
    <n v="15086.75"/>
  </r>
  <r>
    <x v="5"/>
    <s v="66877"/>
    <s v="WALLAC37"/>
    <x v="2"/>
    <s v="Wallack Family Fund"/>
    <n v="88115.19"/>
    <n v="100000"/>
    <n v="-21000"/>
    <n v="4056.57"/>
    <n v="-1547.7"/>
    <n v="0"/>
    <n v="15.6"/>
    <n v="9082.11"/>
    <n v="-6.59"/>
    <n v="9.01"/>
    <n v="178715.18"/>
    <m/>
    <n v="13147.69"/>
  </r>
  <r>
    <x v="5"/>
    <s v="66851"/>
    <s v="PORTER29"/>
    <x v="1"/>
    <s v="The Porter Family Donor Advised Fund"/>
    <n v="6611.03"/>
    <n v="10000"/>
    <n v="-2300"/>
    <n v="228.41"/>
    <n v="-150.49"/>
    <n v="0"/>
    <n v="1"/>
    <n v="186.14"/>
    <n v="-0.56999999999999995"/>
    <n v="0.43000000000000005"/>
    <n v="14575.52"/>
    <m/>
    <n v="414.97999999999996"/>
  </r>
  <r>
    <x v="5"/>
    <s v="66850"/>
    <s v="MEYERS19"/>
    <x v="1"/>
    <s v="The Help Someone Fund"/>
    <n v="5656.25"/>
    <n v="11764.56"/>
    <n v="-6010"/>
    <n v="188.29"/>
    <n v="-150"/>
    <n v="0"/>
    <n v="-22.71"/>
    <n v="194.29"/>
    <n v="-0.3"/>
    <n v="-23.01"/>
    <n v="11620.38"/>
    <m/>
    <n v="359.57"/>
  </r>
  <r>
    <x v="5"/>
    <s v="65383"/>
    <s v="VDOR1"/>
    <x v="3"/>
    <s v="Jewish Community Foundation of Greater Mercer L'Dor V'Dor Fund"/>
    <n v="20761.14"/>
    <n v="0"/>
    <n v="0"/>
    <n v="505"/>
    <n v="-216.89"/>
    <n v="0"/>
    <n v="1.97"/>
    <n v="1162.6600000000001"/>
    <n v="-0.85"/>
    <n v="1.1200000000000001"/>
    <n v="22213.03"/>
    <m/>
    <n v="1668.78"/>
  </r>
  <r>
    <x v="5"/>
    <s v="65382"/>
    <s v="KRAMER24"/>
    <x v="0"/>
    <s v="JCC of the Delaware Valley - Kramer Fund Restricted"/>
    <n v="9392.73"/>
    <n v="0"/>
    <n v="0"/>
    <n v="227.9"/>
    <n v="-150"/>
    <n v="0"/>
    <n v="0.9"/>
    <n v="537.85"/>
    <n v="-0.4"/>
    <n v="0.5"/>
    <n v="10008.98"/>
    <m/>
    <n v="766.25"/>
  </r>
  <r>
    <x v="5"/>
    <s v="65381"/>
    <s v="SZWALB1"/>
    <x v="0"/>
    <s v="JCC of the Delaware Valley - Shelly &amp; Ben Szwalbenest Fund"/>
    <n v="3728.13"/>
    <n v="0"/>
    <n v="0"/>
    <n v="89.4"/>
    <n v="-150"/>
    <n v="0"/>
    <n v="0.37"/>
    <n v="235.21"/>
    <n v="-0.17"/>
    <n v="0.19999999999999998"/>
    <n v="3902.94"/>
    <m/>
    <n v="324.81"/>
  </r>
  <r>
    <x v="5"/>
    <s v="65380"/>
    <s v="COHEN105"/>
    <x v="0"/>
    <s v="JCC of the Delaware Valley - Seymour Cohen Early Childhood Fund"/>
    <n v="11335.34"/>
    <n v="0"/>
    <n v="0"/>
    <n v="275.37"/>
    <n v="-150"/>
    <n v="0"/>
    <n v="1.0900000000000001"/>
    <n v="641.70000000000005"/>
    <n v="-0.48"/>
    <n v="0.6100000000000001"/>
    <n v="12103.02"/>
    <m/>
    <n v="917.68000000000006"/>
  </r>
  <r>
    <x v="5"/>
    <s v="65379"/>
    <s v="KRAMER23"/>
    <x v="0"/>
    <s v="JCC of the Delaware Valley - Kramer Fund Interest for Cultural Activities"/>
    <n v="16255.81"/>
    <n v="0"/>
    <n v="-2960"/>
    <n v="365.25"/>
    <n v="-163.88"/>
    <n v="0"/>
    <n v="1.42"/>
    <n v="1087.5999999999999"/>
    <n v="-0.59"/>
    <n v="0.83"/>
    <n v="14585.61"/>
    <m/>
    <n v="1453.6799999999998"/>
  </r>
  <r>
    <x v="5"/>
    <s v="65162"/>
    <s v="WINKLE17"/>
    <x v="2"/>
    <s v="Cecelia Ruth Winkler M.A.H. &amp; Paul Barry Winkler Ed. D. Endowment - Cafe Europa Fund"/>
    <n v="8767.14"/>
    <n v="0"/>
    <n v="-335"/>
    <n v="204.81"/>
    <n v="-150"/>
    <n v="0"/>
    <n v="0.82"/>
    <n v="492.73"/>
    <n v="-0.37"/>
    <n v="0.44999999999999996"/>
    <n v="8980.1299999999992"/>
    <m/>
    <n v="697.99"/>
  </r>
  <r>
    <x v="5"/>
    <s v="64981"/>
    <s v="EMES1"/>
    <x v="0"/>
    <s v="Congregation Toras Emes Life &amp; Legacy Endowment Fund"/>
    <n v="6771.98"/>
    <n v="4500"/>
    <n v="0"/>
    <n v="268.63"/>
    <n v="-105.96"/>
    <n v="0"/>
    <n v="1.0900000000000001"/>
    <n v="552.66999999999996"/>
    <n v="-0.48"/>
    <n v="0.6100000000000001"/>
    <n v="11987.93"/>
    <m/>
    <n v="821.91"/>
  </r>
  <r>
    <x v="5"/>
    <s v="62677"/>
    <s v="BORKAN1"/>
    <x v="1"/>
    <s v="The Harold Borkan Fund"/>
    <n v="27578.03"/>
    <n v="0"/>
    <n v="-200"/>
    <n v="669.82"/>
    <n v="-288.11"/>
    <n v="0"/>
    <n v="2.61"/>
    <n v="1549.22"/>
    <n v="-1.1200000000000001"/>
    <n v="1.4899999999999998"/>
    <n v="29310.45"/>
    <m/>
    <n v="2220.5299999999997"/>
  </r>
  <r>
    <x v="5"/>
    <s v="62661"/>
    <s v="HANAHA2"/>
    <x v="0"/>
    <s v="Kehilat HaNahar LIFE &amp; LEGACY Endowment Fund"/>
    <n v="6911.11"/>
    <n v="4500"/>
    <n v="0"/>
    <n v="249.6"/>
    <n v="-106.48"/>
    <n v="0"/>
    <n v="1.0900000000000001"/>
    <n v="436.34"/>
    <n v="-0.48"/>
    <n v="0.6100000000000001"/>
    <n v="11991.18"/>
    <m/>
    <n v="686.55"/>
  </r>
  <r>
    <x v="5"/>
    <s v="60352"/>
    <s v="TJCCA1"/>
    <x v="2"/>
    <s v="TJCCA Designated Fund"/>
    <n v="322426.01"/>
    <n v="0"/>
    <n v="-3248.13"/>
    <n v="7800.94"/>
    <n v="-3356.13"/>
    <n v="0"/>
    <n v="29.87"/>
    <n v="18082"/>
    <n v="-12.6"/>
    <n v="17.270000000000003"/>
    <n v="341721.96"/>
    <m/>
    <n v="25900.21"/>
  </r>
  <r>
    <x v="5"/>
    <s v="56537"/>
    <s v="UJFPMB6"/>
    <x v="0"/>
    <s v="JFPMB LIFE &amp; LEGACY Endowment Fund"/>
    <n v="6951.81"/>
    <n v="0"/>
    <n v="0"/>
    <n v="169.07"/>
    <n v="-72.63"/>
    <n v="0"/>
    <n v="0.7"/>
    <n v="389.32"/>
    <n v="-0.32"/>
    <n v="0.37999999999999995"/>
    <n v="7437.95"/>
    <m/>
    <n v="558.77"/>
  </r>
  <r>
    <x v="5"/>
    <s v="56365"/>
    <s v="FREEMA39"/>
    <x v="1"/>
    <s v="Herbert and Joan Freeman Fund"/>
    <n v="16675.72"/>
    <n v="16881"/>
    <n v="-13760"/>
    <n v="412.06"/>
    <n v="-208.84"/>
    <n v="0"/>
    <n v="15.04"/>
    <n v="782.61"/>
    <n v="-0.88"/>
    <n v="14.159999999999998"/>
    <n v="20796.71"/>
    <m/>
    <n v="1208.8300000000002"/>
  </r>
  <r>
    <x v="5"/>
    <s v="56131"/>
    <s v="VILKO1"/>
    <x v="1"/>
    <s v="Vilko Fund"/>
    <n v="33485.83"/>
    <n v="148763.5"/>
    <n v="-123382"/>
    <n v="1043.56"/>
    <n v="-404.97"/>
    <n v="0"/>
    <n v="1061.25"/>
    <n v="2824.99"/>
    <n v="-0.54"/>
    <n v="1060.71"/>
    <n v="63391.62"/>
    <m/>
    <n v="4929.26"/>
  </r>
  <r>
    <x v="5"/>
    <s v="56088"/>
    <s v="HEBREW4"/>
    <x v="0"/>
    <s v="Hebrew Free Loan Program Fund"/>
    <n v="12207.18"/>
    <n v="0"/>
    <n v="0"/>
    <n v="296.64"/>
    <n v="-150"/>
    <n v="0"/>
    <n v="1.1599999999999999"/>
    <n v="688.21"/>
    <n v="-0.51"/>
    <n v="0.64999999999999991"/>
    <n v="13042.68"/>
    <m/>
    <n v="985.5"/>
  </r>
  <r>
    <x v="5"/>
    <s v="56037"/>
    <s v="MEISEL4"/>
    <x v="1"/>
    <s v="The Andrew, Louisa, &amp; Owen Meisel Tzedakah"/>
    <n v="8098.17"/>
    <n v="0"/>
    <n v="-900"/>
    <n v="190.69"/>
    <n v="-150"/>
    <n v="0"/>
    <n v="0.76"/>
    <n v="472.17"/>
    <n v="-0.32"/>
    <n v="0.44"/>
    <n v="7711.47"/>
    <m/>
    <n v="663.30000000000007"/>
  </r>
  <r>
    <x v="5"/>
    <s v="55648"/>
    <s v="BLICK1"/>
    <x v="1"/>
    <s v="Art &amp; Lauren Blick Donor Advised Fund"/>
    <n v="8274.26"/>
    <n v="15033"/>
    <n v="-21574.57"/>
    <n v="196.66"/>
    <n v="-163.68"/>
    <n v="0"/>
    <n v="0.76"/>
    <n v="931.12"/>
    <n v="-0.12"/>
    <n v="0.64"/>
    <n v="2697.43"/>
    <m/>
    <n v="1128.42"/>
  </r>
  <r>
    <x v="5"/>
    <s v="55401"/>
    <s v="KATZ110"/>
    <x v="1"/>
    <s v="Katz / Kurinsky Philanthropic Fund"/>
    <n v="6724.84"/>
    <n v="16731.419999999998"/>
    <n v="-9095"/>
    <n v="269.83"/>
    <n v="-165.04"/>
    <n v="0"/>
    <n v="-14.82"/>
    <n v="150.19999999999999"/>
    <n v="-0.56999999999999995"/>
    <n v="-15.39"/>
    <n v="14600.86"/>
    <m/>
    <n v="404.64"/>
  </r>
  <r>
    <x v="5"/>
    <s v="55245"/>
    <s v="GORDON47"/>
    <x v="1"/>
    <s v="Gordon Community Fund"/>
    <n v="25752.12"/>
    <n v="39653.42"/>
    <n v="-13950"/>
    <n v="837.89"/>
    <n v="-282.31"/>
    <n v="0"/>
    <n v="2.67"/>
    <n v="1669.05"/>
    <n v="-1.1399999999999999"/>
    <n v="1.53"/>
    <n v="53681.7"/>
    <m/>
    <n v="2508.4700000000003"/>
  </r>
  <r>
    <x v="5"/>
    <s v="55070"/>
    <s v="KRAKAU1"/>
    <x v="1"/>
    <s v="Krakauer Fund"/>
    <n v="53121.64"/>
    <n v="26865"/>
    <n v="-51310"/>
    <n v="987.7"/>
    <n v="-473.29"/>
    <n v="0"/>
    <n v="104.48"/>
    <n v="3005.48"/>
    <n v="-0.64"/>
    <n v="103.84"/>
    <n v="32300.37"/>
    <m/>
    <n v="4097.0200000000004"/>
  </r>
  <r>
    <x v="5"/>
    <s v="49564"/>
    <s v="JFCS3"/>
    <x v="0"/>
    <s v="JFCS of Greater Mercer County First LIFE &amp; LEGACY Endowment Fund"/>
    <n v="6722.05"/>
    <n v="4500"/>
    <n v="0"/>
    <n v="267.45"/>
    <n v="-105.46"/>
    <n v="0"/>
    <n v="1.08"/>
    <n v="549.84"/>
    <n v="-0.48"/>
    <n v="0.60000000000000009"/>
    <n v="11934.48"/>
    <m/>
    <n v="817.89"/>
  </r>
  <r>
    <x v="5"/>
    <s v="49536"/>
    <s v="CHADAS1"/>
    <x v="0"/>
    <s v="Or Chadash LIFE &amp; LEGACY Endowment Fund"/>
    <n v="16397.18"/>
    <n v="8480"/>
    <n v="0"/>
    <n v="566.75"/>
    <n v="-224.05"/>
    <n v="0"/>
    <n v="2.2400000000000002"/>
    <n v="1150.58"/>
    <n v="-0.97"/>
    <n v="1.2700000000000002"/>
    <n v="26371.73"/>
    <m/>
    <n v="1718.6"/>
  </r>
  <r>
    <x v="5"/>
    <s v="49525"/>
    <s v="BETHCH1"/>
    <x v="0"/>
    <s v="Beth Chaim LIFE &amp; LEGACY Endowment Fund"/>
    <n v="6563.21"/>
    <n v="4500"/>
    <n v="0"/>
    <n v="263.58999999999997"/>
    <n v="-103.79"/>
    <n v="0"/>
    <n v="1.06"/>
    <n v="540.91999999999996"/>
    <n v="-0.47"/>
    <n v="0.59000000000000008"/>
    <n v="11764.52"/>
    <m/>
    <n v="805.1"/>
  </r>
  <r>
    <x v="5"/>
    <s v="49524"/>
    <s v="ADATH1"/>
    <x v="0"/>
    <s v="Adath Israel LIFE &amp; LEGACY Endowment Fund"/>
    <n v="6555.96"/>
    <n v="0"/>
    <n v="0"/>
    <n v="159.46"/>
    <n v="-68.489999999999995"/>
    <n v="0"/>
    <n v="0.65"/>
    <n v="367.18"/>
    <n v="-0.3"/>
    <n v="0.35000000000000003"/>
    <n v="7014.46"/>
    <m/>
    <n v="526.99"/>
  </r>
  <r>
    <x v="5"/>
    <s v="49304"/>
    <s v="JEWISH28"/>
    <x v="0"/>
    <s v="Jewish Center of Princeton Endowment Fund"/>
    <n v="80552.44"/>
    <n v="9680"/>
    <n v="0"/>
    <n v="2093.88"/>
    <n v="-877.98"/>
    <n v="0"/>
    <n v="7.96"/>
    <n v="4573.1499999999996"/>
    <n v="-3.37"/>
    <n v="4.59"/>
    <n v="96026.08"/>
    <m/>
    <n v="6671.62"/>
  </r>
  <r>
    <x v="5"/>
    <s v="49253"/>
    <s v="DAVIDS14"/>
    <x v="1"/>
    <s v="The DADA Fund"/>
    <n v="15079.56"/>
    <n v="0"/>
    <n v="-1200"/>
    <n v="349.86"/>
    <n v="-152.91"/>
    <n v="0"/>
    <n v="1.37"/>
    <n v="840.61"/>
    <n v="-0.59"/>
    <n v="0.78000000000000014"/>
    <n v="14917.9"/>
    <m/>
    <n v="1191.25"/>
  </r>
  <r>
    <x v="5"/>
    <s v="49131"/>
    <s v="MICHAE8"/>
    <x v="1"/>
    <s v="Manning &amp; Hoffman-Manning Charitable Fund"/>
    <n v="6585.89"/>
    <n v="0"/>
    <n v="0"/>
    <n v="159.30000000000001"/>
    <n v="-150"/>
    <n v="0"/>
    <n v="0.65"/>
    <n v="387.9"/>
    <n v="-0.3"/>
    <n v="0.35000000000000003"/>
    <n v="6983.44"/>
    <m/>
    <n v="547.55000000000007"/>
  </r>
  <r>
    <x v="5"/>
    <s v="48855"/>
    <s v="MEISEL2"/>
    <x v="1"/>
    <s v="Zachary, Ava &amp; Stella Kovner Meisel Tzedkah Fund"/>
    <n v="7287.31"/>
    <n v="0"/>
    <n v="-900"/>
    <n v="170.88"/>
    <n v="-150"/>
    <n v="0"/>
    <n v="0.68"/>
    <n v="428.79"/>
    <n v="-0.28999999999999998"/>
    <n v="0.39000000000000007"/>
    <n v="6837.37"/>
    <m/>
    <n v="600.06000000000006"/>
  </r>
  <r>
    <x v="5"/>
    <s v="48533"/>
    <s v="SNOW3"/>
    <x v="1"/>
    <s v="Nagelberg Philanthropic Fund"/>
    <n v="9289.57"/>
    <n v="0"/>
    <n v="0"/>
    <n v="225.35"/>
    <n v="-150"/>
    <n v="0"/>
    <n v="0.9"/>
    <n v="532.41999999999996"/>
    <n v="-0.4"/>
    <n v="0.5"/>
    <n v="9897.84"/>
    <m/>
    <n v="758.27"/>
  </r>
  <r>
    <x v="5"/>
    <s v="48355"/>
    <s v="FREEMA17"/>
    <x v="1"/>
    <s v="Marsha &amp; Eliot Freeman Family Fund"/>
    <n v="55683.54"/>
    <n v="0"/>
    <n v="0"/>
    <n v="1354.44"/>
    <n v="-581.72"/>
    <n v="0"/>
    <n v="5.21"/>
    <n v="3118.4"/>
    <n v="-2.21"/>
    <n v="3"/>
    <n v="59577.66"/>
    <m/>
    <n v="4475.84"/>
  </r>
  <r>
    <x v="5"/>
    <s v="48196"/>
    <s v="JEWISH27"/>
    <x v="3"/>
    <s v="Jewish Community Foundation of Greater Mercer LIFE &amp; LEGACY Endowment Fund"/>
    <n v="45683.26"/>
    <n v="13293.96"/>
    <n v="-4305"/>
    <n v="1212.8699999999999"/>
    <n v="-505.01"/>
    <n v="0"/>
    <n v="4.58"/>
    <n v="2431.0100000000002"/>
    <n v="-1.9"/>
    <n v="2.68"/>
    <n v="57813.77"/>
    <m/>
    <n v="3646.56"/>
  </r>
  <r>
    <x v="5"/>
    <s v="47872"/>
    <s v="WALDOR1"/>
    <x v="1"/>
    <s v="Berman-Waldorf Family Fund"/>
    <n v="1699.11"/>
    <n v="2049.9"/>
    <n v="-650"/>
    <n v="54.3"/>
    <n v="-150"/>
    <n v="0"/>
    <n v="-13.43"/>
    <n v="149.41"/>
    <n v="-0.11"/>
    <n v="-13.54"/>
    <n v="3139.18"/>
    <m/>
    <n v="190.17"/>
  </r>
  <r>
    <x v="5"/>
    <s v="47724"/>
    <s v="SNOW2"/>
    <x v="1"/>
    <s v="Snow - Nagelberg Philanthropic Fund"/>
    <n v="6968.74"/>
    <n v="25000"/>
    <n v="-1000"/>
    <n v="445.89"/>
    <n v="-236.62"/>
    <n v="0"/>
    <n v="1.96"/>
    <n v="87.09"/>
    <n v="-1.1599999999999999"/>
    <n v="0.8"/>
    <n v="31265.9"/>
    <m/>
    <n v="533.78"/>
  </r>
  <r>
    <x v="5"/>
    <s v="47350"/>
    <s v="FELDMA18"/>
    <x v="1"/>
    <s v="Dena Feldman Fund for Tzedakah"/>
    <n v="18476.16"/>
    <n v="0"/>
    <n v="0"/>
    <n v="449.44"/>
    <n v="-193.02"/>
    <n v="0"/>
    <n v="1.77"/>
    <n v="1034.73"/>
    <n v="-0.77"/>
    <n v="1"/>
    <n v="19768.310000000001"/>
    <m/>
    <n v="1485.17"/>
  </r>
  <r>
    <x v="5"/>
    <s v="47349"/>
    <s v="FRAM1"/>
    <x v="1"/>
    <s v="Harvey &amp; Carine Fram Charitable Gift Fund"/>
    <n v="18900.61"/>
    <n v="3000"/>
    <n v="0"/>
    <n v="487.48"/>
    <n v="-204.83"/>
    <n v="0"/>
    <n v="1.87"/>
    <n v="992.73"/>
    <n v="-0.8"/>
    <n v="1.07"/>
    <n v="23177.06"/>
    <m/>
    <n v="1481.28"/>
  </r>
  <r>
    <x v="5"/>
    <s v="46976"/>
    <s v="DAVIDS12"/>
    <x v="1"/>
    <s v="Davidson Philanthropic Fund"/>
    <n v="20823.63"/>
    <n v="0"/>
    <n v="-700"/>
    <n v="497.63"/>
    <n v="-215.28"/>
    <n v="0"/>
    <n v="1.93"/>
    <n v="1176.48"/>
    <n v="-0.83"/>
    <n v="1.1000000000000001"/>
    <n v="21583.56"/>
    <m/>
    <n v="1675.21"/>
  </r>
  <r>
    <x v="5"/>
    <s v="46842"/>
    <s v="FELDST4"/>
    <x v="1"/>
    <s v="Lori and Michael Feldstein Fund"/>
    <n v="38632.65"/>
    <n v="91886.63"/>
    <n v="-59486"/>
    <n v="1383.69"/>
    <n v="-661.37"/>
    <n v="0"/>
    <n v="-56.87"/>
    <n v="2332.75"/>
    <n v="-2.81"/>
    <n v="-59.68"/>
    <n v="74028.67"/>
    <m/>
    <n v="3656.76"/>
  </r>
  <r>
    <x v="5"/>
    <s v="46751"/>
    <s v="SHAKUN2"/>
    <x v="2"/>
    <s v="Beth El's Future"/>
    <n v="115979.48"/>
    <n v="0"/>
    <n v="-4421"/>
    <n v="2722.61"/>
    <n v="-1178.55"/>
    <n v="0"/>
    <n v="10.46"/>
    <n v="6527.25"/>
    <n v="-4.43"/>
    <n v="6.0300000000000011"/>
    <n v="119635.82"/>
    <m/>
    <n v="9255.8900000000012"/>
  </r>
  <r>
    <x v="5"/>
    <s v="46630"/>
    <s v="KOHN7"/>
    <x v="0"/>
    <s v="The Richard M. Kohn Endowment Fund"/>
    <n v="1046782.12"/>
    <n v="80685.02"/>
    <n v="-39986"/>
    <n v="25775.56"/>
    <n v="-10808.69"/>
    <n v="0"/>
    <n v="100.06"/>
    <n v="58100.35"/>
    <n v="-42.61"/>
    <n v="57.45"/>
    <n v="1160605.81"/>
    <m/>
    <n v="83933.36"/>
  </r>
  <r>
    <x v="5"/>
    <s v="45234"/>
    <s v="LEIBOW1"/>
    <x v="1"/>
    <s v="Donald S. Leibowitz and Karen Brodsky Philanthropic Fund"/>
    <n v="83022.42"/>
    <n v="30500"/>
    <n v="-13525"/>
    <n v="2229.35"/>
    <n v="-924.11"/>
    <n v="0"/>
    <n v="8.84"/>
    <n v="3957.67"/>
    <n v="-3.86"/>
    <n v="4.9800000000000004"/>
    <n v="105265.31"/>
    <m/>
    <n v="6192"/>
  </r>
  <r>
    <x v="5"/>
    <s v="44365"/>
    <s v="DIAMON3"/>
    <x v="1"/>
    <s v="Rabbi James S. Diamond Memorial Fund"/>
    <n v="16539.55"/>
    <n v="850"/>
    <n v="0"/>
    <n v="417.57"/>
    <n v="-178.43"/>
    <n v="0"/>
    <n v="1.65"/>
    <n v="938.37"/>
    <n v="-0.72"/>
    <n v="0.92999999999999994"/>
    <n v="18567.990000000002"/>
    <m/>
    <n v="1356.8700000000001"/>
  </r>
  <r>
    <x v="5"/>
    <s v="43836"/>
    <s v="ZLATIN1"/>
    <x v="1"/>
    <s v="Tikkun Olam Fund"/>
    <n v="5038.42"/>
    <n v="7748.6"/>
    <n v="-11270"/>
    <n v="71.53"/>
    <n v="-150"/>
    <n v="0"/>
    <n v="-1.47"/>
    <n v="324.25"/>
    <n v="-0.02"/>
    <n v="-1.49"/>
    <n v="1761.31"/>
    <m/>
    <n v="394.28999999999996"/>
  </r>
  <r>
    <x v="5"/>
    <s v="43834"/>
    <s v="GARBER7"/>
    <x v="1"/>
    <s v="Eileen and Robert Garber Family Fund"/>
    <n v="9673.7000000000007"/>
    <n v="500"/>
    <n v="0"/>
    <n v="240.42"/>
    <n v="-150"/>
    <n v="0"/>
    <n v="0.96"/>
    <n v="545.33000000000004"/>
    <n v="-0.43"/>
    <n v="0.53"/>
    <n v="10809.98"/>
    <m/>
    <n v="786.28"/>
  </r>
  <r>
    <x v="5"/>
    <s v="42917"/>
    <s v="UJFPMB5"/>
    <x v="0"/>
    <s v="UJFPMB Kravitz"/>
    <n v="112174.23"/>
    <n v="0"/>
    <n v="-5345"/>
    <n v="2604.09"/>
    <n v="-1130.08"/>
    <n v="0"/>
    <n v="9.99"/>
    <n v="6081.5"/>
    <n v="-4.22"/>
    <n v="5.7700000000000005"/>
    <n v="114390.51"/>
    <m/>
    <n v="8691.36"/>
  </r>
  <r>
    <x v="5"/>
    <s v="42559"/>
    <s v="PUNIA1"/>
    <x v="3"/>
    <s v="Renee Punia Fund"/>
    <n v="116593.63"/>
    <n v="0"/>
    <n v="-5555"/>
    <n v="2706.73"/>
    <n v="-1174.5999999999999"/>
    <n v="0"/>
    <n v="10.39"/>
    <n v="6321.19"/>
    <n v="-4.3899999999999997"/>
    <n v="6.0000000000000009"/>
    <n v="118897.95"/>
    <m/>
    <n v="9033.92"/>
  </r>
  <r>
    <x v="5"/>
    <s v="42558"/>
    <s v="KEHILL1"/>
    <x v="3"/>
    <s v="The Kehillah Fund"/>
    <n v="94960.39"/>
    <n v="0"/>
    <n v="0"/>
    <n v="2325.35"/>
    <n v="0"/>
    <n v="0"/>
    <n v="8.9499999999999993"/>
    <n v="5161.6899999999996"/>
    <n v="-3.8"/>
    <n v="5.1499999999999995"/>
    <n v="102452.58"/>
    <m/>
    <n v="7492.1899999999987"/>
  </r>
  <r>
    <x v="5"/>
    <s v="42557"/>
    <s v="FIF1"/>
    <x v="3"/>
    <s v="Foundation Investment Fund"/>
    <n v="104479.53"/>
    <n v="0"/>
    <n v="0"/>
    <n v="2553"/>
    <n v="0"/>
    <n v="0"/>
    <n v="9.83"/>
    <n v="5578.7"/>
    <n v="-4.16"/>
    <n v="5.67"/>
    <n v="112616.9"/>
    <m/>
    <n v="8137.37"/>
  </r>
  <r>
    <x v="5"/>
    <s v="42555"/>
    <s v="UJFPMB4"/>
    <x v="0"/>
    <s v="UJFPMB Julius and Dorothy Koppelman Designated Fund"/>
    <n v="474772.52"/>
    <n v="0"/>
    <n v="-54001.64"/>
    <n v="10639.79"/>
    <n v="-4687.76"/>
    <n v="0"/>
    <n v="39.630000000000003"/>
    <n v="26909.71"/>
    <n v="-16.760000000000002"/>
    <n v="22.87"/>
    <n v="453655.49"/>
    <m/>
    <n v="37572.370000000003"/>
  </r>
  <r>
    <x v="5"/>
    <s v="42554"/>
    <s v="UJFPMB3"/>
    <x v="0"/>
    <s v="UJFPMB Shirley Kobak Lion of Judah Endowment Fund"/>
    <n v="92597.51"/>
    <n v="0"/>
    <n v="-4412"/>
    <n v="2149.64"/>
    <n v="-932.85"/>
    <n v="0"/>
    <n v="8.24"/>
    <n v="5020.16"/>
    <n v="-3.48"/>
    <n v="4.76"/>
    <n v="94427.22"/>
    <m/>
    <n v="7174.5599999999995"/>
  </r>
  <r>
    <x v="5"/>
    <s v="42553"/>
    <s v="UJFPMB2"/>
    <x v="0"/>
    <s v="UJFPMB Estates Fund"/>
    <n v="53507.34"/>
    <n v="0"/>
    <n v="0"/>
    <n v="1301.54"/>
    <n v="-558.99"/>
    <n v="0"/>
    <n v="5.01"/>
    <n v="2996.56"/>
    <n v="-2.12"/>
    <n v="2.8899999999999997"/>
    <n v="57249.34"/>
    <m/>
    <n v="4300.9900000000007"/>
  </r>
  <r>
    <x v="5"/>
    <s v="42552"/>
    <s v="SRF1"/>
    <x v="0"/>
    <s v="Soviet Resettlement Fund"/>
    <n v="1030.71"/>
    <n v="0"/>
    <n v="0"/>
    <n v="25.12"/>
    <n v="-37.5"/>
    <n v="0"/>
    <n v="0.11"/>
    <n v="92.05"/>
    <n v="-0.05"/>
    <n v="0.06"/>
    <n v="1110.44"/>
    <m/>
    <n v="117.23"/>
  </r>
  <r>
    <x v="5"/>
    <s v="42551"/>
    <s v="PACK1"/>
    <x v="0"/>
    <s v="JFCS Pack Scholarship Fund"/>
    <n v="19556.66"/>
    <n v="0"/>
    <n v="-745"/>
    <n v="458.36"/>
    <n v="-198.49"/>
    <n v="0"/>
    <n v="1.81"/>
    <n v="1067.32"/>
    <n v="-0.79"/>
    <n v="1.02"/>
    <n v="20139.87"/>
    <m/>
    <n v="1526.6999999999998"/>
  </r>
  <r>
    <x v="5"/>
    <s v="42550"/>
    <s v="AHALF1"/>
    <x v="0"/>
    <s v="AHA Sandy Light Fund"/>
    <n v="24349.279999999999"/>
    <n v="1481"/>
    <n v="-892"/>
    <n v="579.98"/>
    <n v="-247.4"/>
    <n v="0"/>
    <n v="2.2400000000000002"/>
    <n v="1301.51"/>
    <n v="-0.97"/>
    <n v="1.2700000000000002"/>
    <n v="26573.64"/>
    <m/>
    <n v="1882.76"/>
  </r>
  <r>
    <x v="5"/>
    <s v="42549"/>
    <s v="SILK1"/>
    <x v="1"/>
    <s v="Allen and Judith Silk Philanthropic Fund"/>
    <n v="34421.08"/>
    <n v="0"/>
    <n v="-12600"/>
    <n v="724.09"/>
    <n v="-339.86"/>
    <n v="0"/>
    <n v="2.63"/>
    <n v="2013.45"/>
    <n v="-0.91"/>
    <n v="1.7199999999999998"/>
    <n v="24220.48"/>
    <m/>
    <n v="2739.2599999999998"/>
  </r>
  <r>
    <x v="5"/>
    <s v="42548"/>
    <s v="ROJER2"/>
    <x v="2"/>
    <s v="Goldie B. Rojer Hunger Relief Fund"/>
    <n v="55342.61"/>
    <n v="0"/>
    <n v="-2121"/>
    <n v="1296.79"/>
    <n v="-561.58000000000004"/>
    <n v="0"/>
    <n v="4.99"/>
    <n v="3019.76"/>
    <n v="-2.11"/>
    <n v="2.8800000000000003"/>
    <n v="56979.46"/>
    <m/>
    <n v="4319.43"/>
  </r>
  <r>
    <x v="5"/>
    <s v="42547"/>
    <s v="BERKOW5"/>
    <x v="2"/>
    <s v="Anne and Bernard Berkowitz Legacy Fund"/>
    <n v="12492.81"/>
    <n v="0"/>
    <n v="-596"/>
    <n v="289.73"/>
    <n v="-150"/>
    <n v="0"/>
    <n v="1.1399999999999999"/>
    <n v="682.67"/>
    <n v="-0.5"/>
    <n v="0.6399999999999999"/>
    <n v="12719.85"/>
    <m/>
    <n v="973.04"/>
  </r>
  <r>
    <x v="5"/>
    <s v="42546"/>
    <s v="YSF1"/>
    <x v="4"/>
    <s v="Youth Scholarship Fund"/>
    <n v="6837.81"/>
    <n v="0"/>
    <n v="-1590"/>
    <n v="130.12"/>
    <n v="0"/>
    <n v="0"/>
    <n v="0.54"/>
    <n v="306.63"/>
    <n v="-0.25"/>
    <n v="0.29000000000000004"/>
    <n v="5684.85"/>
    <m/>
    <n v="437.04"/>
  </r>
  <r>
    <x v="5"/>
    <s v="42545"/>
    <s v="WOLLIN1"/>
    <x v="4"/>
    <s v="Wollin Scholarship Fund"/>
    <n v="19807.72"/>
    <n v="0"/>
    <n v="-5000"/>
    <n v="366.02"/>
    <n v="-167.77"/>
    <n v="0"/>
    <n v="1.41"/>
    <n v="913.41"/>
    <n v="-0.61"/>
    <n v="0.79999999999999993"/>
    <n v="15920.18"/>
    <m/>
    <n v="1280.2299999999998"/>
  </r>
  <r>
    <x v="5"/>
    <s v="42544"/>
    <s v="UJFPMB1"/>
    <x v="4"/>
    <s v="UJFPMB Income Fund"/>
    <n v="11011.74"/>
    <n v="0"/>
    <n v="-420"/>
    <n v="257.66000000000003"/>
    <n v="-150"/>
    <n v="0"/>
    <n v="1.02"/>
    <n v="609.70000000000005"/>
    <n v="-0.45"/>
    <n v="0.57000000000000006"/>
    <n v="11309.67"/>
    <m/>
    <n v="867.93000000000018"/>
  </r>
  <r>
    <x v="5"/>
    <s v="42543"/>
    <s v="SIF1"/>
    <x v="4"/>
    <s v="Scholarship Investment Fund"/>
    <n v="27432.19"/>
    <n v="0"/>
    <n v="0"/>
    <n v="667.26"/>
    <n v="-286.58"/>
    <n v="0"/>
    <n v="2.6"/>
    <n v="1536.33"/>
    <n v="-1.1200000000000001"/>
    <n v="1.48"/>
    <n v="29350.68"/>
    <m/>
    <n v="2205.0700000000002"/>
  </r>
  <r>
    <x v="5"/>
    <s v="42542"/>
    <s v="OFFNER1"/>
    <x v="2"/>
    <s v="Offner JFCS Senior Services Fund"/>
    <n v="16674.7"/>
    <n v="0"/>
    <n v="-636"/>
    <n v="390.8"/>
    <n v="-169.23"/>
    <n v="0"/>
    <n v="1.51"/>
    <n v="909.93"/>
    <n v="-0.65"/>
    <n v="0.86"/>
    <n v="17171.060000000001"/>
    <m/>
    <n v="1301.5899999999999"/>
  </r>
  <r>
    <x v="5"/>
    <s v="42541"/>
    <s v="KLATZK2"/>
    <x v="4"/>
    <s v="Clive B. Klatzkin PACE Designated Fund"/>
    <n v="51616.39"/>
    <n v="0"/>
    <n v="0"/>
    <n v="1255.54"/>
    <n v="-539.23"/>
    <n v="0"/>
    <n v="4.84"/>
    <n v="2890.63"/>
    <n v="-2.0499999999999998"/>
    <n v="2.79"/>
    <n v="55226.12"/>
    <m/>
    <n v="4148.96"/>
  </r>
  <r>
    <x v="5"/>
    <s v="42540"/>
    <s v="KELSEY2"/>
    <x v="4"/>
    <s v="Harold H. Kelsey Greenwood House Fund"/>
    <n v="95828.24"/>
    <n v="0"/>
    <n v="-8262"/>
    <n v="2138.5700000000002"/>
    <n v="-936.5"/>
    <n v="0"/>
    <n v="8.19"/>
    <n v="5056.6000000000004"/>
    <n v="-3.46"/>
    <n v="4.7299999999999995"/>
    <n v="93829.64"/>
    <m/>
    <n v="7199.9"/>
  </r>
  <r>
    <x v="5"/>
    <s v="42539"/>
    <s v="KAHN7"/>
    <x v="4"/>
    <s v="Albert B. Kahn Scholarship Fund"/>
    <n v="145104.57"/>
    <n v="0"/>
    <n v="-5380"/>
    <n v="3404.96"/>
    <n v="-1473.77"/>
    <n v="0"/>
    <n v="13.07"/>
    <n v="7915.49"/>
    <n v="-5.53"/>
    <n v="7.54"/>
    <n v="149578.79"/>
    <m/>
    <n v="11327.990000000002"/>
  </r>
  <r>
    <x v="5"/>
    <s v="42537"/>
    <s v="GHIF1"/>
    <x v="4"/>
    <s v="Greenwood House Income Fund"/>
    <n v="11585.47"/>
    <n v="0"/>
    <n v="-442"/>
    <n v="271.13"/>
    <n v="-150"/>
    <n v="0"/>
    <n v="1.08"/>
    <n v="639.52"/>
    <n v="-0.48"/>
    <n v="0.60000000000000009"/>
    <n v="11904.72"/>
    <m/>
    <n v="911.25"/>
  </r>
  <r>
    <x v="5"/>
    <s v="42536"/>
    <s v="GLAZER2"/>
    <x v="4"/>
    <s v="Henry and Geralyn Glazer Greenwood House Scholarship Fund"/>
    <n v="38130.160000000003"/>
    <n v="0"/>
    <n v="-1500"/>
    <n v="892.57"/>
    <n v="-386.62"/>
    <n v="0"/>
    <n v="3.44"/>
    <n v="2079.0700000000002"/>
    <n v="-1.46"/>
    <n v="1.98"/>
    <n v="39217.160000000003"/>
    <m/>
    <n v="2973.6200000000003"/>
  </r>
  <r>
    <x v="5"/>
    <s v="42535"/>
    <s v="GARB3"/>
    <x v="4"/>
    <s v="Benjamin Garb Scholarship Fund"/>
    <n v="39163.120000000003"/>
    <n v="0"/>
    <n v="-1380"/>
    <n v="920.63"/>
    <n v="-398.33"/>
    <n v="0"/>
    <n v="3.55"/>
    <n v="2139.16"/>
    <n v="-1.51"/>
    <n v="2.04"/>
    <n v="40446.620000000003"/>
    <m/>
    <n v="3061.83"/>
  </r>
  <r>
    <x v="5"/>
    <s v="42534"/>
    <s v="EDINIT1"/>
    <x v="4"/>
    <s v="Educational Initiative Fund"/>
    <n v="105701.59"/>
    <n v="0"/>
    <n v="-4028"/>
    <n v="2477.31"/>
    <n v="-1072.75"/>
    <n v="0"/>
    <n v="9.49"/>
    <n v="5768.47"/>
    <n v="-4"/>
    <n v="5.49"/>
    <n v="108852.11"/>
    <m/>
    <n v="8251.27"/>
  </r>
  <r>
    <x v="5"/>
    <s v="42533"/>
    <s v="DENBO4"/>
    <x v="4"/>
    <s v="Alexander &amp; Syble G. Denbo Penn State/Dickinson School of Law Fund"/>
    <n v="194960.15"/>
    <n v="0"/>
    <n v="-16808"/>
    <n v="4411.43"/>
    <n v="-1931.36"/>
    <n v="0"/>
    <n v="16.73"/>
    <n v="10693.96"/>
    <n v="-7.08"/>
    <n v="9.65"/>
    <n v="191335.83"/>
    <m/>
    <n v="15115.039999999999"/>
  </r>
  <r>
    <x v="5"/>
    <s v="42532"/>
    <s v="DENBO3"/>
    <x v="2"/>
    <s v="Alexander &amp; Syble G. Denbo JFCS Fund"/>
    <n v="1451846.38"/>
    <n v="0"/>
    <n v="-56407.35"/>
    <n v="34014.160000000003"/>
    <n v="-13547.97"/>
    <n v="0"/>
    <n v="130.56"/>
    <n v="78896.05"/>
    <n v="-55.21"/>
    <n v="75.349999999999994"/>
    <n v="1494876.62"/>
    <m/>
    <n v="112985.56000000001"/>
  </r>
  <r>
    <x v="5"/>
    <s v="42531"/>
    <s v="DENBO2"/>
    <x v="2"/>
    <s v="Alexander &amp; Syble G. Denbo Greenwood House Fund"/>
    <n v="1144395.6299999999"/>
    <n v="0"/>
    <n v="-77939.3"/>
    <n v="26025.49"/>
    <n v="-11010.36"/>
    <n v="0"/>
    <n v="99.81"/>
    <n v="61080.77"/>
    <n v="-42.2"/>
    <n v="57.61"/>
    <n v="1142609.8400000001"/>
    <m/>
    <n v="87163.87"/>
  </r>
  <r>
    <x v="5"/>
    <s v="42530"/>
    <s v="DENBO1"/>
    <x v="4"/>
    <s v="Alexander Denbo School Fund"/>
    <n v="23076.7"/>
    <n v="0"/>
    <n v="-880"/>
    <n v="540.82000000000005"/>
    <n v="-234.2"/>
    <n v="0"/>
    <n v="2.12"/>
    <n v="1259.3499999999999"/>
    <n v="-0.92"/>
    <n v="1.2000000000000002"/>
    <n v="23763.87"/>
    <m/>
    <n v="1801.3700000000001"/>
  </r>
  <r>
    <x v="5"/>
    <s v="42529"/>
    <s v="AHAPIF1"/>
    <x v="4"/>
    <s v="AHA Pooled Special Funds"/>
    <n v="2875.67"/>
    <n v="0"/>
    <n v="0"/>
    <n v="70.239999999999995"/>
    <n v="0"/>
    <n v="0"/>
    <n v="0.28000000000000003"/>
    <n v="153.07"/>
    <n v="-0.13"/>
    <n v="0.15000000000000002"/>
    <n v="3099.13"/>
    <m/>
    <n v="223.46"/>
  </r>
  <r>
    <x v="5"/>
    <s v="42528"/>
    <s v="ZELTT1"/>
    <x v="1"/>
    <s v="Harold &amp; Marilyn Zeltt Charitable Fund"/>
    <n v="3221.17"/>
    <n v="0"/>
    <n v="-2300"/>
    <n v="31.24"/>
    <n v="-150"/>
    <n v="0"/>
    <n v="0.09"/>
    <n v="144.61000000000001"/>
    <n v="-0.04"/>
    <n v="4.9999999999999996E-2"/>
    <n v="947.07"/>
    <m/>
    <n v="175.90000000000003"/>
  </r>
  <r>
    <x v="5"/>
    <s v="42527"/>
    <s v="WISOTS1"/>
    <x v="1"/>
    <s v="Wisotsky Family Philanthropic Fund"/>
    <n v="408.85"/>
    <n v="1163.8"/>
    <n v="0"/>
    <n v="15.01"/>
    <n v="-150"/>
    <n v="0"/>
    <n v="-5.6"/>
    <n v="37.659999999999997"/>
    <n v="-0.01"/>
    <n v="-5.6099999999999994"/>
    <n v="1469.71"/>
    <m/>
    <n v="47.059999999999995"/>
  </r>
  <r>
    <x v="5"/>
    <s v="42525"/>
    <s v="URKEN1"/>
    <x v="1"/>
    <s v="Ernestine and Karl Urken Philanthropic Fund"/>
    <n v="16544.52"/>
    <n v="0"/>
    <n v="-100"/>
    <n v="400.11"/>
    <n v="-172.05"/>
    <n v="0"/>
    <n v="1.57"/>
    <n v="922.65"/>
    <n v="-0.68"/>
    <n v="0.89"/>
    <n v="17596.12"/>
    <m/>
    <n v="1323.65"/>
  </r>
  <r>
    <x v="5"/>
    <s v="42524"/>
    <s v="SUCHAR1"/>
    <x v="1"/>
    <s v="Sucharow Family Charitable Fund"/>
    <n v="653542.19999999995"/>
    <n v="0"/>
    <n v="-329000"/>
    <n v="9557.57"/>
    <n v="-4849.43"/>
    <n v="0"/>
    <n v="33.86"/>
    <n v="28540.35"/>
    <n v="-13.18"/>
    <n v="20.68"/>
    <n v="357811.37"/>
    <m/>
    <n v="38118.6"/>
  </r>
  <r>
    <x v="5"/>
    <s v="42523"/>
    <s v="STIX1"/>
    <x v="1"/>
    <s v="Stix Charitable Fund"/>
    <n v="198508.83"/>
    <n v="0"/>
    <n v="-3441"/>
    <n v="4809.4799999999996"/>
    <n v="-2073.8200000000002"/>
    <n v="0"/>
    <n v="18.46"/>
    <n v="11182.82"/>
    <n v="-7.75"/>
    <n v="10.71"/>
    <n v="208997.02"/>
    <m/>
    <n v="16003.009999999998"/>
  </r>
  <r>
    <x v="5"/>
    <s v="42522"/>
    <s v="SMUKLE3"/>
    <x v="1"/>
    <s v="Smukler Fund"/>
    <n v="895920.91"/>
    <n v="0"/>
    <n v="-148500"/>
    <n v="20236.63"/>
    <n v="-8970.26"/>
    <n v="0"/>
    <n v="75.48"/>
    <n v="50339.8"/>
    <n v="-29.89"/>
    <n v="45.59"/>
    <n v="809072.67"/>
    <m/>
    <n v="70622.02"/>
  </r>
  <r>
    <x v="5"/>
    <s v="42520"/>
    <s v="SHECHT5"/>
    <x v="1"/>
    <s v="Shechtel Children's Fund"/>
    <n v="4943.45"/>
    <n v="0"/>
    <n v="0"/>
    <n v="119.14"/>
    <n v="-150"/>
    <n v="0"/>
    <n v="0.3"/>
    <n v="300.13"/>
    <n v="-0.04"/>
    <n v="0.26"/>
    <n v="5212.9799999999996"/>
    <m/>
    <n v="419.53"/>
  </r>
  <r>
    <x v="5"/>
    <s v="42519"/>
    <s v="SCHWAR33"/>
    <x v="1"/>
    <s v="Judith &amp; Martin Schwartz Family Charitable Trust"/>
    <n v="123235.03"/>
    <n v="9821.77"/>
    <n v="-21455"/>
    <n v="2837.46"/>
    <n v="-1268.3499999999999"/>
    <n v="0"/>
    <n v="10.75"/>
    <n v="6974.79"/>
    <n v="-4.45"/>
    <n v="6.3"/>
    <n v="120152"/>
    <m/>
    <n v="9818.5499999999993"/>
  </r>
  <r>
    <x v="5"/>
    <s v="42518"/>
    <s v="SCHNUR3"/>
    <x v="1"/>
    <s v="Schnur Family Philanthropic Fund"/>
    <n v="127214.03"/>
    <n v="0"/>
    <n v="-31000"/>
    <n v="2782.98"/>
    <n v="-1251.7"/>
    <n v="0"/>
    <n v="10.220000000000001"/>
    <n v="7409.19"/>
    <n v="-3.89"/>
    <n v="6.33"/>
    <n v="105160.83"/>
    <m/>
    <n v="10198.5"/>
  </r>
  <r>
    <x v="5"/>
    <s v="42516"/>
    <s v="SHAKUN1"/>
    <x v="1"/>
    <s v="Shakun &amp; Devery Family Fund"/>
    <n v="32608.73"/>
    <n v="20098.77"/>
    <n v="-6950"/>
    <n v="1134.93"/>
    <n v="-456.07"/>
    <n v="0"/>
    <n v="4.33"/>
    <n v="2335.91"/>
    <n v="-1.83"/>
    <n v="2.5"/>
    <n v="48774.77"/>
    <m/>
    <n v="3473.34"/>
  </r>
  <r>
    <x v="5"/>
    <s v="42515"/>
    <s v="SCHAEF7"/>
    <x v="1"/>
    <s v="Schaefer Family Philanthropic Fund"/>
    <n v="94456.11"/>
    <n v="23500"/>
    <n v="-27250"/>
    <n v="2251.27"/>
    <n v="-966.77"/>
    <n v="0"/>
    <n v="8.34"/>
    <n v="4627.87"/>
    <n v="-3.43"/>
    <n v="4.91"/>
    <n v="96623.39"/>
    <m/>
    <n v="6884.0499999999993"/>
  </r>
  <r>
    <x v="5"/>
    <s v="42514"/>
    <s v="KOHN6"/>
    <x v="2"/>
    <s v="RMK PACE Fund"/>
    <n v="100080.67"/>
    <n v="0"/>
    <n v="-4769"/>
    <n v="2323.36"/>
    <n v="-1008.24"/>
    <n v="0"/>
    <n v="8.92"/>
    <n v="5425.89"/>
    <n v="-3.77"/>
    <n v="5.15"/>
    <n v="102057.83"/>
    <m/>
    <n v="7754.4"/>
  </r>
  <r>
    <x v="5"/>
    <s v="42513"/>
    <s v="PIMLEY1"/>
    <x v="1"/>
    <s v="Oliver Jenson Pimley Tzedakah Fund"/>
    <n v="9095.25"/>
    <n v="0"/>
    <n v="0"/>
    <n v="220.62"/>
    <n v="-150"/>
    <n v="0"/>
    <n v="0.88"/>
    <n v="522.01"/>
    <n v="-0.39"/>
    <n v="0.49"/>
    <n v="9688.3700000000008"/>
    <m/>
    <n v="743.12"/>
  </r>
  <r>
    <x v="5"/>
    <s v="42512"/>
    <s v="PERLMA8"/>
    <x v="1"/>
    <s v="Bonnie and Richard Perlman Philanthropic Fund"/>
    <n v="9021.7199999999993"/>
    <n v="40196.54"/>
    <n v="-12650"/>
    <n v="868.89"/>
    <n v="-339.17"/>
    <n v="0"/>
    <n v="-16.66"/>
    <n v="924.38"/>
    <n v="-1.44"/>
    <n v="-18.100000000000001"/>
    <n v="38004.26"/>
    <m/>
    <n v="1775.17"/>
  </r>
  <r>
    <x v="5"/>
    <s v="42511"/>
    <s v="PERLMA7"/>
    <x v="1"/>
    <s v="B. Perlman Family Charitable Fund"/>
    <n v="3870.72"/>
    <n v="0"/>
    <n v="-2825"/>
    <n v="68.900000000000006"/>
    <n v="-150"/>
    <n v="0"/>
    <n v="0.24"/>
    <n v="252.54"/>
    <n v="-0.06"/>
    <n v="0.18"/>
    <n v="1217.3399999999999"/>
    <m/>
    <n v="321.62"/>
  </r>
  <r>
    <x v="5"/>
    <s v="42510"/>
    <s v="NEUMAN3"/>
    <x v="1"/>
    <s v="Jerry Neumann &amp; Naomi Richman Philanthropic Fund"/>
    <n v="123583.02"/>
    <n v="11122.5"/>
    <n v="-8035"/>
    <n v="2978.61"/>
    <n v="-1300.6400000000001"/>
    <n v="0"/>
    <n v="-19.350000000000001"/>
    <n v="6492.02"/>
    <n v="-5"/>
    <n v="-24.35"/>
    <n v="134816.16"/>
    <m/>
    <n v="9446.2800000000007"/>
  </r>
  <r>
    <x v="5"/>
    <s v="42509"/>
    <s v="MILLER147"/>
    <x v="1"/>
    <s v="Sue Ellen and David H. Miller Family Charitable Fund"/>
    <n v="16108.92"/>
    <n v="0"/>
    <n v="0"/>
    <n v="391.84"/>
    <n v="-168.29"/>
    <n v="0"/>
    <n v="1.54"/>
    <n v="902.11"/>
    <n v="-0.67"/>
    <n v="0.87"/>
    <n v="17235.45"/>
    <m/>
    <n v="1294.82"/>
  </r>
  <r>
    <x v="5"/>
    <s v="42508"/>
    <s v="KLATZK1"/>
    <x v="1"/>
    <s v="Clive and Audrey Klatzkin Family Philanthropic Fund"/>
    <n v="59978.35"/>
    <n v="0"/>
    <n v="-2000"/>
    <n v="1438.57"/>
    <n v="-621.86"/>
    <n v="0"/>
    <n v="5.54"/>
    <n v="3477.98"/>
    <n v="-2.33"/>
    <n v="3.21"/>
    <n v="62276.25"/>
    <m/>
    <n v="4919.76"/>
  </r>
  <r>
    <x v="5"/>
    <s v="42507"/>
    <s v="KALISH2"/>
    <x v="1"/>
    <s v="Peggy and Errol Kalish Philanthropic Fund"/>
    <n v="81629.08"/>
    <n v="0"/>
    <n v="-50000"/>
    <n v="1074.95"/>
    <n v="-594.70000000000005"/>
    <n v="0"/>
    <n v="3.14"/>
    <n v="3722.18"/>
    <n v="-1.34"/>
    <n v="1.8"/>
    <n v="35833.31"/>
    <m/>
    <n v="4798.93"/>
  </r>
  <r>
    <x v="5"/>
    <s v="42506"/>
    <s v="KAHN6"/>
    <x v="1"/>
    <s v="Kahn Family Philanthropic Fund"/>
    <n v="14363.51"/>
    <n v="11030.6"/>
    <n v="-11450"/>
    <n v="350.83"/>
    <n v="-150.38999999999999"/>
    <n v="0"/>
    <n v="1.33"/>
    <n v="901.59"/>
    <n v="-0.56999999999999995"/>
    <n v="0.76000000000000012"/>
    <n v="15046.9"/>
    <m/>
    <n v="1253.18"/>
  </r>
  <r>
    <x v="5"/>
    <s v="42505"/>
    <s v="HARRIS51"/>
    <x v="1"/>
    <s v="Sara Jane and Morris Harris Philanthropic Fund"/>
    <n v="102075.81"/>
    <n v="0"/>
    <n v="0"/>
    <n v="2482.89"/>
    <n v="-1066.3800000000001"/>
    <n v="0"/>
    <n v="9.52"/>
    <n v="5716.57"/>
    <n v="-4.01"/>
    <n v="5.51"/>
    <n v="109214.39999999999"/>
    <m/>
    <n v="8204.9699999999993"/>
  </r>
  <r>
    <x v="5"/>
    <s v="42504"/>
    <s v="GOODMA11"/>
    <x v="1"/>
    <s v="Goodman Family Philanthropic Fund"/>
    <n v="37720.400000000001"/>
    <n v="0"/>
    <n v="0"/>
    <n v="917.52"/>
    <n v="-394.07"/>
    <n v="0"/>
    <n v="3.54"/>
    <n v="2112.54"/>
    <n v="-1.51"/>
    <n v="2.0300000000000002"/>
    <n v="40358.42"/>
    <m/>
    <n v="3032.09"/>
  </r>
  <r>
    <x v="5"/>
    <s v="42503"/>
    <s v="GOLDMA21"/>
    <x v="1"/>
    <s v="Debby and Peter Goldman Fund"/>
    <n v="190470.9"/>
    <n v="0"/>
    <n v="0"/>
    <n v="4633.0600000000004"/>
    <n v="-1989.85"/>
    <n v="0"/>
    <n v="17.77"/>
    <n v="10666.95"/>
    <n v="-7.5"/>
    <n v="10.27"/>
    <n v="203791.33"/>
    <m/>
    <n v="15310.280000000002"/>
  </r>
  <r>
    <x v="5"/>
    <s v="42502"/>
    <s v="GLAZER1"/>
    <x v="1"/>
    <s v="Richard M. Glazer Philanthropic Fund"/>
    <n v="23569.4"/>
    <n v="0"/>
    <n v="-1530"/>
    <n v="543"/>
    <n v="-236.36"/>
    <n v="0"/>
    <n v="2.11"/>
    <n v="1296.49"/>
    <n v="-0.91"/>
    <n v="1.1999999999999997"/>
    <n v="23643.73"/>
    <m/>
    <n v="1840.69"/>
  </r>
  <r>
    <x v="5"/>
    <s v="42499"/>
    <s v="FELDMA13"/>
    <x v="1"/>
    <s v="Talia Feldman Fund for Tzedakah"/>
    <n v="11722.46"/>
    <n v="0"/>
    <n v="0"/>
    <n v="284.76"/>
    <n v="-150"/>
    <n v="0"/>
    <n v="1.1200000000000001"/>
    <n v="662.36"/>
    <n v="-0.49"/>
    <n v="0.63000000000000012"/>
    <n v="12520.21"/>
    <m/>
    <n v="947.75"/>
  </r>
  <r>
    <x v="5"/>
    <s v="42498"/>
    <s v="FANNIN3"/>
    <x v="1"/>
    <s v="Lillian and Arthur Fanning Memorial Fund"/>
    <n v="48866.09"/>
    <n v="0"/>
    <n v="-7200"/>
    <n v="1115.25"/>
    <n v="-493.46"/>
    <n v="0"/>
    <n v="4.24"/>
    <n v="3164.99"/>
    <n v="-1.72"/>
    <n v="2.5200000000000005"/>
    <n v="45455.39"/>
    <m/>
    <n v="4282.76"/>
  </r>
  <r>
    <x v="5"/>
    <s v="42497"/>
    <s v="FAMILA1"/>
    <x v="1"/>
    <s v="Rosalind &quot;Mimi&quot; and Aaron &quot;Poppy&quot; Familant Fund"/>
    <n v="18716.45"/>
    <n v="0"/>
    <n v="-1000"/>
    <n v="437.98"/>
    <n v="-190.45"/>
    <n v="0"/>
    <n v="1.7"/>
    <n v="1047.53"/>
    <n v="-0.74"/>
    <n v="0.96"/>
    <n v="19012.47"/>
    <m/>
    <n v="1486.47"/>
  </r>
  <r>
    <x v="5"/>
    <s v="42496"/>
    <s v="ENTIN1"/>
    <x v="1"/>
    <s v="Sadie and Leon Entin Memorial Fund"/>
    <n v="9613.0499999999993"/>
    <n v="0"/>
    <n v="-500"/>
    <n v="221.6"/>
    <n v="-150"/>
    <n v="0"/>
    <n v="0.89"/>
    <n v="532.12"/>
    <n v="-0.4"/>
    <n v="0.49"/>
    <n v="9717.26"/>
    <m/>
    <n v="754.21"/>
  </r>
  <r>
    <x v="5"/>
    <s v="42495"/>
    <s v="EGGER2"/>
    <x v="1"/>
    <s v="Audrey and David Egger Charitable Fund"/>
    <n v="14971.02"/>
    <n v="53651.4"/>
    <n v="-17000"/>
    <n v="761.52"/>
    <n v="-265.45"/>
    <n v="0"/>
    <n v="-1457.11"/>
    <n v="135.76"/>
    <n v="-1.55"/>
    <n v="-1458.6599999999999"/>
    <n v="50795.59"/>
    <m/>
    <n v="-561.37999999999988"/>
  </r>
  <r>
    <x v="5"/>
    <s v="42494"/>
    <s v="COHEN57"/>
    <x v="1"/>
    <s v="Janet and Howard Cohen Philanthropic Fund"/>
    <n v="47913.02"/>
    <n v="0"/>
    <n v="-1980"/>
    <n v="1132.3399999999999"/>
    <n v="-491.29"/>
    <n v="0"/>
    <n v="4.32"/>
    <n v="2664.22"/>
    <n v="-1.82"/>
    <n v="2.5"/>
    <n v="49240.79"/>
    <m/>
    <n v="3799.0599999999995"/>
  </r>
  <r>
    <x v="5"/>
    <s v="42493"/>
    <s v="BURNS15"/>
    <x v="1"/>
    <s v="Joseph Burns Fund"/>
    <n v="16814.009999999998"/>
    <n v="2500"/>
    <n v="0"/>
    <n v="433.98"/>
    <n v="-181.86"/>
    <n v="0"/>
    <n v="1.72"/>
    <n v="907.97"/>
    <n v="-0.77"/>
    <n v="0.95"/>
    <n v="20475.05"/>
    <m/>
    <n v="1342.9"/>
  </r>
  <r>
    <x v="5"/>
    <s v="42492"/>
    <s v="BERMAN14"/>
    <x v="1"/>
    <s v="Ronald and Marie Berman Philanthropic Fund"/>
    <n v="20615.990000000002"/>
    <n v="0"/>
    <n v="-3100"/>
    <n v="441.75"/>
    <n v="-191.33"/>
    <n v="0"/>
    <n v="1.68"/>
    <n v="1053.48"/>
    <n v="-0.73"/>
    <n v="0.95"/>
    <n v="18820.84"/>
    <m/>
    <n v="1496.18"/>
  </r>
  <r>
    <x v="5"/>
    <s v="42491"/>
    <s v="BERGER10"/>
    <x v="1"/>
    <s v="Samuel S. and Regina Berger Charitable Fund"/>
    <n v="11554.63"/>
    <n v="0"/>
    <n v="-1000"/>
    <n v="261.7"/>
    <n v="-150"/>
    <n v="0"/>
    <n v="1.02"/>
    <n v="627.76"/>
    <n v="-0.45"/>
    <n v="0.57000000000000006"/>
    <n v="11294.66"/>
    <m/>
    <n v="890.03000000000009"/>
  </r>
  <r>
    <x v="5"/>
    <s v="42490"/>
    <s v="AXELRO4"/>
    <x v="1"/>
    <s v="Axelrod Family Fund"/>
    <n v="62293.85"/>
    <n v="0"/>
    <n v="-4100"/>
    <n v="1476.26"/>
    <n v="-641.74"/>
    <n v="0"/>
    <n v="5.63"/>
    <n v="3507.95"/>
    <n v="-2.33"/>
    <n v="3.3"/>
    <n v="62539.62"/>
    <m/>
    <n v="4987.51"/>
  </r>
  <r>
    <x v="5"/>
    <s v="42489"/>
    <s v="APPLES1"/>
    <x v="1"/>
    <s v="Louis Applestein Memorial Fund"/>
    <n v="27860.12"/>
    <n v="0"/>
    <n v="0"/>
    <n v="677.67"/>
    <n v="-291.06"/>
    <n v="0"/>
    <n v="2.64"/>
    <n v="1560.32"/>
    <n v="-1.1399999999999999"/>
    <n v="1.5000000000000002"/>
    <n v="29808.55"/>
    <m/>
    <n v="2239.4899999999998"/>
  </r>
  <r>
    <x v="5"/>
    <s v="42488"/>
    <s v="ANSHEN1"/>
    <x v="1"/>
    <s v="Rose Perlman Anshen and Harold Anshen Memorial Fund"/>
    <n v="29203.88"/>
    <n v="0"/>
    <n v="-3000"/>
    <n v="655.7"/>
    <n v="-289.61"/>
    <n v="0"/>
    <n v="2.4900000000000002"/>
    <n v="1584.54"/>
    <n v="-1.07"/>
    <n v="1.4200000000000002"/>
    <n v="28155.93"/>
    <m/>
    <n v="2241.66"/>
  </r>
  <r>
    <x v="5"/>
    <s v="141710"/>
    <s v="MALBER1"/>
    <x v="1"/>
    <s v="Ariel Eden Malberg Memorial Fund"/>
    <n v="0"/>
    <n v="0"/>
    <n v="0"/>
    <n v="0"/>
    <n v="0"/>
    <n v="0"/>
    <n v="0"/>
    <n v="0"/>
    <n v="0"/>
    <n v="0"/>
    <n v="0"/>
    <m/>
    <n v="0"/>
  </r>
  <r>
    <x v="6"/>
    <s v="88609"/>
    <s v="TEMPLE47"/>
    <x v="0"/>
    <s v="Temple Beth-El's Capital Reserve Fund"/>
    <n v="104547.83"/>
    <n v="0"/>
    <n v="-36428"/>
    <n v="1937.6"/>
    <n v="-1038.98"/>
    <n v="0"/>
    <n v="0"/>
    <n v="1229.07"/>
    <n v="0"/>
    <n v="0"/>
    <n v="70247.520000000019"/>
    <m/>
    <n v="3166.67"/>
  </r>
  <r>
    <x v="6"/>
    <s v="80039"/>
    <s v="SARIF1"/>
    <x v="1"/>
    <s v="Sari Feldman Charitable Fund"/>
    <n v="4342.22"/>
    <n v="0"/>
    <n v="0"/>
    <n v="79.739999999999995"/>
    <n v="-150"/>
    <n v="0"/>
    <n v="-0.19"/>
    <n v="84.91"/>
    <n v="0.19"/>
    <n v="0"/>
    <n v="4356.87"/>
    <m/>
    <n v="164.64999999999998"/>
  </r>
  <r>
    <x v="6"/>
    <s v="79952"/>
    <s v="ALPERI10"/>
    <x v="1"/>
    <s v="Alperin-Sheriff Family Fund"/>
    <n v="25324.55"/>
    <n v="0"/>
    <n v="-17195"/>
    <n v="256.97000000000003"/>
    <n v="-196.7"/>
    <n v="0"/>
    <n v="-0.55000000000000004"/>
    <n v="-280.26"/>
    <n v="0.55000000000000004"/>
    <n v="0"/>
    <n v="7909.5599999999986"/>
    <m/>
    <n v="-23.289999999999964"/>
  </r>
  <r>
    <x v="6"/>
    <s v="79950"/>
    <s v="GLUCK13"/>
    <x v="1"/>
    <s v="Rabbi Arnold S. Gluck and Sarah R. Gluck Family Fund"/>
    <n v="7664.14"/>
    <n v="0"/>
    <n v="-360"/>
    <n v="135.13"/>
    <n v="-150"/>
    <n v="0"/>
    <n v="-0.31"/>
    <n v="152.44999999999999"/>
    <n v="0.31"/>
    <n v="0"/>
    <n v="7441.72"/>
    <m/>
    <n v="287.58"/>
  </r>
  <r>
    <x v="6"/>
    <s v="73981"/>
    <s v="BRENT4"/>
    <x v="1"/>
    <s v="The Brent Family Fund"/>
    <n v="15427.35"/>
    <n v="0"/>
    <n v="-7213"/>
    <n v="260.49"/>
    <n v="-153.26"/>
    <n v="0"/>
    <n v="-0.61"/>
    <n v="-19.14"/>
    <n v="0.61"/>
    <n v="0"/>
    <n v="8302.44"/>
    <m/>
    <n v="241.35000000000002"/>
  </r>
  <r>
    <x v="6"/>
    <s v="73978"/>
    <s v="SUSSMA3"/>
    <x v="1"/>
    <s v="Sussman Schnur Gratitude Fund"/>
    <n v="14511.71"/>
    <n v="0"/>
    <n v="-12000"/>
    <n v="107.67"/>
    <n v="-150"/>
    <n v="0"/>
    <n v="-0.56000000000000005"/>
    <n v="-287.08999999999997"/>
    <n v="0.56000000000000005"/>
    <n v="0"/>
    <n v="2182.2899999999991"/>
    <m/>
    <n v="-179.41999999999996"/>
  </r>
  <r>
    <x v="6"/>
    <s v="72136"/>
    <s v="APPLES2"/>
    <x v="2"/>
    <s v="The Anice Applestein Fund"/>
    <n v="389698.86"/>
    <n v="0"/>
    <n v="-15266"/>
    <n v="6967.52"/>
    <n v="-3761.45"/>
    <n v="0"/>
    <n v="-14.27"/>
    <n v="7956.88"/>
    <n v="14.27"/>
    <n v="0"/>
    <n v="385595.81"/>
    <m/>
    <n v="14924.400000000001"/>
  </r>
  <r>
    <x v="6"/>
    <s v="72135"/>
    <s v="FELDST5"/>
    <x v="1"/>
    <s v="The Ruth and Nathan Feldstein Israel Travel Scholarship"/>
    <n v="51504.61"/>
    <n v="3600"/>
    <n v="-3000"/>
    <n v="957.89"/>
    <n v="-520.73"/>
    <n v="0"/>
    <n v="-1.89"/>
    <n v="1310.3900000000001"/>
    <n v="1.89"/>
    <n v="0"/>
    <n v="53852.159999999996"/>
    <m/>
    <n v="2268.2800000000002"/>
  </r>
  <r>
    <x v="6"/>
    <s v="71829"/>
    <s v="DREIER2"/>
    <x v="1"/>
    <s v="Sandra H. and William A. Dreier Charitable Trust"/>
    <n v="108491.51"/>
    <n v="0"/>
    <n v="0"/>
    <n v="2013.11"/>
    <n v="-1078.18"/>
    <n v="0"/>
    <n v="-3.99"/>
    <n v="2210.62"/>
    <n v="3.99"/>
    <n v="0"/>
    <n v="111637.06"/>
    <m/>
    <n v="4223.7299999999996"/>
  </r>
  <r>
    <x v="6"/>
    <s v="71543"/>
    <s v="GROSSM25"/>
    <x v="1"/>
    <s v="The Amy Marlene Grossman Memorial Fund"/>
    <n v="9483.49"/>
    <n v="250"/>
    <n v="-2972"/>
    <n v="140.09"/>
    <n v="-150"/>
    <n v="0"/>
    <n v="-0.28000000000000003"/>
    <n v="104.38"/>
    <n v="0.28000000000000003"/>
    <n v="0"/>
    <n v="6855.96"/>
    <m/>
    <n v="244.47"/>
  </r>
  <r>
    <x v="6"/>
    <s v="70511"/>
    <s v="SACHS4"/>
    <x v="1"/>
    <s v="The Renee Lisse Sachs (nee Lyszka) Charitable Contribution Fund for the Benefit of Humanity"/>
    <n v="12555.1"/>
    <n v="27000"/>
    <n v="-6715"/>
    <n v="321.2"/>
    <n v="-199.01"/>
    <n v="0"/>
    <n v="-0.49"/>
    <n v="1189.77"/>
    <n v="0.49"/>
    <n v="0"/>
    <n v="34152.05999999999"/>
    <m/>
    <n v="1510.97"/>
  </r>
  <r>
    <x v="6"/>
    <s v="70509"/>
    <s v="RUBIN18"/>
    <x v="1"/>
    <s v="Amy E. and Kenneth A. Rubin Philanthropic Fund"/>
    <n v="9008.0300000000007"/>
    <n v="0"/>
    <n v="-1000"/>
    <n v="166.61"/>
    <n v="-150"/>
    <n v="0"/>
    <n v="-0.37"/>
    <n v="156.84"/>
    <n v="0.37"/>
    <n v="0"/>
    <n v="8181.4800000000005"/>
    <m/>
    <n v="323.45000000000005"/>
  </r>
  <r>
    <x v="6"/>
    <s v="70466"/>
    <s v="SMALL10"/>
    <x v="2"/>
    <s v="The Small Family Fund"/>
    <n v="19565.09"/>
    <n v="0"/>
    <n v="-3000"/>
    <n v="353.56"/>
    <n v="-190.32999999999998"/>
    <n v="0"/>
    <n v="-0.76"/>
    <n v="204.45"/>
    <n v="0.76"/>
    <n v="0"/>
    <n v="16932.77"/>
    <m/>
    <n v="558.01"/>
  </r>
  <r>
    <x v="6"/>
    <s v="66878"/>
    <s v="WALLAC38"/>
    <x v="2"/>
    <s v="Robin Liebmann Wallack Fund"/>
    <n v="199114.98"/>
    <n v="100000"/>
    <n v="-7000"/>
    <n v="4926.6099999999997"/>
    <n v="-2437.5699999999997"/>
    <n v="0"/>
    <n v="-7.34"/>
    <n v="11053.02"/>
    <n v="7.34"/>
    <n v="0"/>
    <n v="305657.03999999998"/>
    <m/>
    <n v="15979.630000000001"/>
  </r>
  <r>
    <x v="6"/>
    <s v="66877"/>
    <s v="WALLAC37"/>
    <x v="2"/>
    <s v="Wallack Family Fund"/>
    <n v="178715.18"/>
    <n v="24913.4"/>
    <n v="-21000"/>
    <n v="3290.69"/>
    <n v="-1749.93"/>
    <n v="0"/>
    <n v="-6.59"/>
    <n v="5404.87"/>
    <n v="6.59"/>
    <n v="0"/>
    <n v="189574.21"/>
    <m/>
    <n v="8695.56"/>
  </r>
  <r>
    <x v="6"/>
    <s v="66851"/>
    <s v="PORTER29"/>
    <x v="1"/>
    <s v="The Porter Family Donor Advised Fund"/>
    <n v="14575.52"/>
    <n v="0"/>
    <n v="0"/>
    <n v="270.39"/>
    <n v="-150"/>
    <n v="0"/>
    <n v="-0.55000000000000004"/>
    <n v="296.8"/>
    <n v="0.55000000000000004"/>
    <n v="0"/>
    <n v="14992.71"/>
    <m/>
    <n v="567.19000000000005"/>
  </r>
  <r>
    <x v="6"/>
    <s v="66850"/>
    <s v="MEYERS19"/>
    <x v="1"/>
    <s v="The Help Someone Fund"/>
    <n v="11620.38"/>
    <n v="286"/>
    <n v="-2240"/>
    <n v="191.43"/>
    <n v="-150"/>
    <n v="0"/>
    <n v="-0.3"/>
    <n v="177.96"/>
    <n v="0.3"/>
    <n v="0"/>
    <n v="9885.7699999999986"/>
    <m/>
    <n v="369.39"/>
  </r>
  <r>
    <x v="6"/>
    <s v="65383"/>
    <s v="VDOR1"/>
    <x v="3"/>
    <s v="Jewish Community Foundation of Greater Mercer L'Dor V'Dor Fund"/>
    <n v="22213.03"/>
    <n v="0"/>
    <n v="0"/>
    <n v="412.16"/>
    <n v="-164.36"/>
    <n v="0"/>
    <n v="-0.85"/>
    <n v="452.65"/>
    <n v="0.85"/>
    <n v="0"/>
    <n v="22913.48"/>
    <m/>
    <n v="864.81"/>
  </r>
  <r>
    <x v="6"/>
    <s v="65382"/>
    <s v="KRAMER24"/>
    <x v="0"/>
    <s v="JCC of the Delaware Valley - Kramer Fund Restricted"/>
    <n v="10008.98"/>
    <n v="0"/>
    <n v="0"/>
    <n v="185.32"/>
    <n v="-150"/>
    <n v="0"/>
    <n v="-0.4"/>
    <n v="202.36"/>
    <n v="0.4"/>
    <n v="0"/>
    <n v="10246.66"/>
    <m/>
    <n v="387.68"/>
  </r>
  <r>
    <x v="6"/>
    <s v="65381"/>
    <s v="SZWALB1"/>
    <x v="0"/>
    <s v="JCC of the Delaware Valley - Shelly &amp; Ben Szwalbenest Fund"/>
    <n v="3902.94"/>
    <n v="0"/>
    <n v="0"/>
    <n v="71.489999999999995"/>
    <n v="-150"/>
    <n v="0"/>
    <n v="-0.17"/>
    <n v="75.89"/>
    <n v="0.17"/>
    <n v="0"/>
    <n v="3900.3199999999997"/>
    <m/>
    <n v="147.38"/>
  </r>
  <r>
    <x v="6"/>
    <s v="65380"/>
    <s v="COHEN105"/>
    <x v="0"/>
    <s v="JCC of the Delaware Valley - Seymour Cohen Early Childhood Fund"/>
    <n v="12103.02"/>
    <n v="0"/>
    <n v="0"/>
    <n v="224.33"/>
    <n v="-150"/>
    <n v="0"/>
    <n v="-0.48"/>
    <n v="245.73"/>
    <n v="0.48"/>
    <n v="0"/>
    <n v="12423.08"/>
    <m/>
    <n v="470.06"/>
  </r>
  <r>
    <x v="6"/>
    <s v="65379"/>
    <s v="KRAMER23"/>
    <x v="0"/>
    <s v="JCC of the Delaware Valley - Kramer Fund Interest for Cultural Activities"/>
    <n v="14585.61"/>
    <n v="0"/>
    <n v="-2000"/>
    <n v="235.86"/>
    <n v="-150"/>
    <n v="0"/>
    <n v="-0.59"/>
    <n v="277.58999999999997"/>
    <n v="0.59"/>
    <n v="0"/>
    <n v="12949.060000000001"/>
    <m/>
    <n v="513.45000000000005"/>
  </r>
  <r>
    <x v="6"/>
    <s v="65162"/>
    <s v="WINKLE17"/>
    <x v="2"/>
    <s v="Cecelia Ruth Winkler M.A.H. &amp; Paul Barry Winkler Ed. D. Endowment - Cafe Europa Fund"/>
    <n v="8980.1299999999992"/>
    <n v="0"/>
    <n v="-357"/>
    <n v="159.96"/>
    <n v="-150"/>
    <n v="0"/>
    <n v="-0.37"/>
    <n v="181.19"/>
    <n v="0.37"/>
    <n v="0"/>
    <n v="8814.2799999999988"/>
    <m/>
    <n v="341.15"/>
  </r>
  <r>
    <x v="6"/>
    <s v="64981"/>
    <s v="EMES1"/>
    <x v="0"/>
    <s v="Congregation Toras Emes Life &amp; Legacy Endowment Fund"/>
    <n v="11987.93"/>
    <n v="0"/>
    <n v="0"/>
    <n v="222.44"/>
    <n v="-119.13"/>
    <n v="0"/>
    <n v="-0.48"/>
    <n v="244.32"/>
    <n v="0.48"/>
    <n v="0"/>
    <n v="12335.560000000001"/>
    <m/>
    <n v="466.76"/>
  </r>
  <r>
    <x v="6"/>
    <s v="62677"/>
    <s v="BORKAN1"/>
    <x v="1"/>
    <s v="The Harold Borkan Fund"/>
    <n v="29310.45"/>
    <n v="0"/>
    <n v="-600"/>
    <n v="533.09"/>
    <n v="-286.88"/>
    <n v="0"/>
    <n v="-1.1200000000000001"/>
    <n v="595.24"/>
    <n v="1.1200000000000001"/>
    <n v="0"/>
    <n v="29551.9"/>
    <m/>
    <n v="1128.33"/>
  </r>
  <r>
    <x v="6"/>
    <s v="62661"/>
    <s v="HANAHA2"/>
    <x v="0"/>
    <s v="Kehilat HaNahar LIFE &amp; LEGACY Endowment Fund"/>
    <n v="11991.18"/>
    <n v="0"/>
    <n v="0"/>
    <n v="222.49"/>
    <n v="-119.17"/>
    <n v="0"/>
    <n v="-0.48"/>
    <n v="244.43"/>
    <n v="0.48"/>
    <n v="0"/>
    <n v="12338.93"/>
    <m/>
    <n v="466.92"/>
  </r>
  <r>
    <x v="6"/>
    <s v="60352"/>
    <s v="TJCCA1"/>
    <x v="2"/>
    <s v="TJCCA Designated Fund"/>
    <n v="341721.96"/>
    <n v="0"/>
    <n v="0"/>
    <n v="6340.82"/>
    <n v="-3395.99"/>
    <n v="0"/>
    <n v="-12.6"/>
    <n v="6963.1"/>
    <n v="12.6"/>
    <n v="0"/>
    <n v="351629.89"/>
    <m/>
    <n v="13303.92"/>
  </r>
  <r>
    <x v="6"/>
    <s v="56537"/>
    <s v="UJFPMB6"/>
    <x v="0"/>
    <s v="JFPMB LIFE &amp; LEGACY Endowment Fund"/>
    <n v="7437.95"/>
    <n v="0"/>
    <n v="0"/>
    <n v="138.03"/>
    <n v="-73.92"/>
    <n v="0"/>
    <n v="-0.32"/>
    <n v="151.55000000000001"/>
    <n v="0.32"/>
    <n v="0"/>
    <n v="7653.61"/>
    <m/>
    <n v="289.58000000000004"/>
  </r>
  <r>
    <x v="6"/>
    <s v="56365"/>
    <s v="FREEMA39"/>
    <x v="1"/>
    <s v="Herbert and Joan Freeman Fund"/>
    <n v="20796.71"/>
    <n v="18164.25"/>
    <n v="-15110"/>
    <n v="232.6"/>
    <n v="-180.49"/>
    <n v="0"/>
    <n v="81.73"/>
    <n v="-303.68"/>
    <n v="0.79"/>
    <n v="82.52000000000001"/>
    <n v="23681.909999999996"/>
    <m/>
    <n v="11.439999999999998"/>
  </r>
  <r>
    <x v="6"/>
    <s v="56131"/>
    <s v="VILKO1"/>
    <x v="1"/>
    <s v="Vilko Fund"/>
    <n v="63391.62"/>
    <n v="60997.2"/>
    <n v="-82972"/>
    <n v="871.29"/>
    <n v="-508.11"/>
    <n v="0"/>
    <n v="-45.06"/>
    <n v="1792.73"/>
    <n v="0.54"/>
    <n v="-44.52"/>
    <n v="43528.210000000014"/>
    <m/>
    <n v="2619.5"/>
  </r>
  <r>
    <x v="6"/>
    <s v="56088"/>
    <s v="HEBREW4"/>
    <x v="0"/>
    <s v="Hebrew Free Loan Program Fund"/>
    <n v="13042.68"/>
    <n v="0"/>
    <n v="0"/>
    <n v="241.84"/>
    <n v="-150"/>
    <n v="0"/>
    <n v="-0.51"/>
    <n v="265.14"/>
    <n v="0.51"/>
    <n v="0"/>
    <n v="13399.66"/>
    <m/>
    <n v="506.98"/>
  </r>
  <r>
    <x v="6"/>
    <s v="56037"/>
    <s v="MEISEL4"/>
    <x v="1"/>
    <s v="The Andrew, Louisa, &amp; Owen Meisel Tzedakah"/>
    <n v="7711.47"/>
    <n v="0"/>
    <n v="0"/>
    <n v="142.51"/>
    <n v="-150"/>
    <n v="0"/>
    <n v="-0.32"/>
    <n v="154.69999999999999"/>
    <n v="0.32"/>
    <n v="0"/>
    <n v="7858.68"/>
    <m/>
    <n v="297.20999999999998"/>
  </r>
  <r>
    <x v="6"/>
    <s v="55648"/>
    <s v="BLICK1"/>
    <x v="1"/>
    <s v="Art &amp; Lauren Blick Donor Advised Fund"/>
    <n v="2697.43"/>
    <n v="14680.35"/>
    <n v="-11864.57"/>
    <n v="140.32"/>
    <n v="-152.80000000000001"/>
    <n v="0"/>
    <n v="-106.61"/>
    <n v="221.46"/>
    <n v="0.12"/>
    <n v="-106.49"/>
    <n v="5615.6999999999989"/>
    <m/>
    <n v="255.28999999999996"/>
  </r>
  <r>
    <x v="6"/>
    <s v="55401"/>
    <s v="KATZ110"/>
    <x v="1"/>
    <s v="Katz / Kurinsky Philanthropic Fund"/>
    <n v="14600.86"/>
    <n v="0"/>
    <n v="-7105"/>
    <n v="189.15"/>
    <n v="-150"/>
    <n v="0"/>
    <n v="-0.56999999999999995"/>
    <n v="168.88"/>
    <n v="0.56999999999999995"/>
    <n v="0"/>
    <n v="7703.89"/>
    <m/>
    <n v="358.03"/>
  </r>
  <r>
    <x v="6"/>
    <s v="55245"/>
    <s v="GORDON47"/>
    <x v="1"/>
    <s v="Gordon Community Fund"/>
    <n v="53681.7"/>
    <n v="14068.5"/>
    <n v="-18750"/>
    <n v="1083.17"/>
    <n v="-562.57999999999993"/>
    <n v="0"/>
    <n v="-29.66"/>
    <n v="1212.05"/>
    <n v="1.1200000000000001"/>
    <n v="-28.54"/>
    <n v="50704.299999999996"/>
    <m/>
    <n v="2266.6800000000003"/>
  </r>
  <r>
    <x v="6"/>
    <s v="55070"/>
    <s v="KRAKAU1"/>
    <x v="1"/>
    <s v="Krakauer Fund"/>
    <n v="32300.37"/>
    <n v="200000"/>
    <n v="-56460"/>
    <n v="2252.65"/>
    <n v="-1149.9099999999999"/>
    <n v="0"/>
    <n v="-0.64"/>
    <n v="6923.24"/>
    <n v="0.64"/>
    <n v="0"/>
    <n v="183866.34999999998"/>
    <m/>
    <n v="9175.89"/>
  </r>
  <r>
    <x v="6"/>
    <s v="49564"/>
    <s v="JFCS3"/>
    <x v="0"/>
    <s v="JFCS of Greater Mercer County First LIFE &amp; LEGACY Endowment Fund"/>
    <n v="11934.48"/>
    <n v="3550"/>
    <n v="0"/>
    <n v="279.58"/>
    <n v="-142.97"/>
    <n v="0"/>
    <n v="-0.48"/>
    <n v="235.36"/>
    <n v="0.48"/>
    <n v="0"/>
    <n v="15856.45"/>
    <m/>
    <n v="514.94000000000005"/>
  </r>
  <r>
    <x v="6"/>
    <s v="49536"/>
    <s v="CHADAS1"/>
    <x v="0"/>
    <s v="Or Chadash LIFE &amp; LEGACY Endowment Fund"/>
    <n v="26371.73"/>
    <n v="4800"/>
    <n v="0"/>
    <n v="550.22"/>
    <n v="-287.97000000000003"/>
    <n v="0"/>
    <n v="-0.97"/>
    <n v="482.8"/>
    <n v="0.97"/>
    <n v="0"/>
    <n v="31916.78"/>
    <m/>
    <n v="1033.02"/>
  </r>
  <r>
    <x v="6"/>
    <s v="49525"/>
    <s v="BETHCH1"/>
    <x v="0"/>
    <s v="Beth Chaim LIFE &amp; LEGACY Endowment Fund"/>
    <n v="11764.52"/>
    <n v="0"/>
    <n v="0"/>
    <n v="218.29"/>
    <n v="-116.91"/>
    <n v="0"/>
    <n v="-0.47"/>
    <n v="239.76"/>
    <n v="0.47"/>
    <n v="0"/>
    <n v="12105.660000000002"/>
    <m/>
    <n v="458.04999999999995"/>
  </r>
  <r>
    <x v="6"/>
    <s v="49524"/>
    <s v="ADATH1"/>
    <x v="0"/>
    <s v="Adath Israel LIFE &amp; LEGACY Endowment Fund"/>
    <n v="7014.46"/>
    <n v="0"/>
    <n v="0"/>
    <n v="130.18"/>
    <n v="-69.72"/>
    <n v="0"/>
    <n v="-0.3"/>
    <n v="142.97"/>
    <n v="0.3"/>
    <n v="0"/>
    <n v="7217.89"/>
    <m/>
    <n v="273.14999999999998"/>
  </r>
  <r>
    <x v="6"/>
    <s v="49304"/>
    <s v="JEWISH28"/>
    <x v="0"/>
    <s v="Jewish Center of Princeton Endowment Fund"/>
    <n v="96026.08"/>
    <n v="6000"/>
    <n v="0"/>
    <n v="1859.76"/>
    <n v="-987.27"/>
    <n v="0"/>
    <n v="-3.37"/>
    <n v="2063.5"/>
    <n v="3.37"/>
    <n v="0"/>
    <n v="104962.06999999999"/>
    <m/>
    <n v="3923.26"/>
  </r>
  <r>
    <x v="6"/>
    <s v="49253"/>
    <s v="DAVIDS14"/>
    <x v="1"/>
    <s v="The DADA Fund"/>
    <n v="14917.9"/>
    <n v="0"/>
    <n v="-1200"/>
    <n v="266.95999999999998"/>
    <n v="-150.12"/>
    <n v="0"/>
    <n v="-0.59"/>
    <n v="275.24"/>
    <n v="0.59"/>
    <n v="0"/>
    <n v="14109.979999999998"/>
    <m/>
    <n v="542.20000000000005"/>
  </r>
  <r>
    <x v="6"/>
    <s v="49131"/>
    <s v="MICHAE8"/>
    <x v="1"/>
    <s v="Manning &amp; Hoffman-Manning Charitable Fund"/>
    <n v="6983.44"/>
    <n v="0"/>
    <n v="0"/>
    <n v="128.96"/>
    <n v="-150"/>
    <n v="0"/>
    <n v="-0.3"/>
    <n v="139.68"/>
    <n v="0.3"/>
    <n v="0"/>
    <n v="7102.08"/>
    <m/>
    <n v="268.64"/>
  </r>
  <r>
    <x v="6"/>
    <s v="48855"/>
    <s v="MEISEL2"/>
    <x v="1"/>
    <s v="Zachary, Ava &amp; Stella Kovner Meisel Tzedkah Fund"/>
    <n v="6837.37"/>
    <n v="0"/>
    <n v="0"/>
    <n v="126.21"/>
    <n v="-150"/>
    <n v="0"/>
    <n v="-0.28999999999999998"/>
    <n v="136.59"/>
    <n v="0.28999999999999998"/>
    <n v="0"/>
    <n v="6950.17"/>
    <m/>
    <n v="262.8"/>
  </r>
  <r>
    <x v="6"/>
    <s v="48533"/>
    <s v="SNOW3"/>
    <x v="1"/>
    <s v="Nagelberg Philanthropic Fund"/>
    <n v="9897.84"/>
    <n v="0"/>
    <n v="0"/>
    <n v="183.23"/>
    <n v="-150"/>
    <n v="0"/>
    <n v="-0.4"/>
    <n v="200.03"/>
    <n v="0.4"/>
    <n v="0"/>
    <n v="10131.1"/>
    <m/>
    <n v="383.26"/>
  </r>
  <r>
    <x v="6"/>
    <s v="48355"/>
    <s v="FREEMA17"/>
    <x v="1"/>
    <s v="Marsha &amp; Eliot Freeman Family Fund"/>
    <n v="59577.66"/>
    <n v="0"/>
    <n v="0"/>
    <n v="1105.5"/>
    <n v="-592.06999999999994"/>
    <n v="0"/>
    <n v="-2.21"/>
    <n v="1213.95"/>
    <n v="2.21"/>
    <n v="0"/>
    <n v="61305.04"/>
    <m/>
    <n v="2319.4499999999998"/>
  </r>
  <r>
    <x v="6"/>
    <s v="48196"/>
    <s v="JEWISH27"/>
    <x v="3"/>
    <s v="Jewish Community Foundation of Greater Mercer LIFE &amp; LEGACY Endowment Fund"/>
    <n v="57813.77"/>
    <n v="0"/>
    <n v="-3141"/>
    <n v="1018.86"/>
    <n v="-412.75"/>
    <n v="0"/>
    <n v="-1.9"/>
    <n v="1191.92"/>
    <n v="1.9"/>
    <n v="0"/>
    <n v="56470.799999999996"/>
    <m/>
    <n v="2210.7800000000002"/>
  </r>
  <r>
    <x v="6"/>
    <s v="47872"/>
    <s v="WALDOR1"/>
    <x v="1"/>
    <s v="Berman-Waldorf Family Fund"/>
    <n v="3139.18"/>
    <n v="0"/>
    <n v="-1530"/>
    <n v="43.9"/>
    <n v="-150"/>
    <n v="0"/>
    <n v="-0.11"/>
    <n v="-4.0599999999999996"/>
    <n v="0.11"/>
    <n v="0"/>
    <n v="1499.02"/>
    <m/>
    <n v="39.839999999999996"/>
  </r>
  <r>
    <x v="6"/>
    <s v="47724"/>
    <s v="SNOW2"/>
    <x v="1"/>
    <s v="Snow - Nagelberg Philanthropic Fund"/>
    <n v="31265.9"/>
    <n v="0"/>
    <n v="-11500"/>
    <n v="437.14"/>
    <n v="-249.76999999999998"/>
    <n v="0"/>
    <n v="-1.1599999999999999"/>
    <n v="425.58"/>
    <n v="1.1599999999999999"/>
    <n v="0"/>
    <n v="20378.850000000002"/>
    <m/>
    <n v="862.72"/>
  </r>
  <r>
    <x v="6"/>
    <s v="47350"/>
    <s v="FELDMA18"/>
    <x v="1"/>
    <s v="Dena Feldman Fund for Tzedakah"/>
    <n v="19768.310000000001"/>
    <n v="0"/>
    <n v="-2260"/>
    <n v="338.42"/>
    <n v="-184.37"/>
    <n v="0"/>
    <n v="-0.77"/>
    <n v="374.82"/>
    <n v="0.77"/>
    <n v="0"/>
    <n v="18037.18"/>
    <m/>
    <n v="713.24"/>
  </r>
  <r>
    <x v="6"/>
    <s v="47349"/>
    <s v="FRAM1"/>
    <x v="1"/>
    <s v="Harvey &amp; Carine Fram Charitable Gift Fund"/>
    <n v="23177.06"/>
    <n v="0"/>
    <n v="0"/>
    <n v="430.05"/>
    <n v="-230.34"/>
    <n v="0"/>
    <n v="-0.8"/>
    <n v="472.28"/>
    <n v="0.8"/>
    <n v="0"/>
    <n v="23849.05"/>
    <m/>
    <n v="902.32999999999993"/>
  </r>
  <r>
    <x v="6"/>
    <s v="46976"/>
    <s v="DAVIDS12"/>
    <x v="1"/>
    <s v="Davidson Philanthropic Fund"/>
    <n v="21583.56"/>
    <n v="0"/>
    <n v="-300"/>
    <n v="397.18"/>
    <n v="-213.01"/>
    <n v="0"/>
    <n v="-0.83"/>
    <n v="426.25"/>
    <n v="0.83"/>
    <n v="0"/>
    <n v="21893.980000000003"/>
    <m/>
    <n v="823.43000000000006"/>
  </r>
  <r>
    <x v="6"/>
    <s v="46842"/>
    <s v="FELDST4"/>
    <x v="1"/>
    <s v="Lori and Michael Feldstein Fund"/>
    <n v="74028.67"/>
    <n v="328474.13"/>
    <n v="-277712"/>
    <n v="1711.24"/>
    <n v="-993.37000000000012"/>
    <n v="0"/>
    <n v="-3478.57"/>
    <n v="5905.33"/>
    <n v="2.81"/>
    <n v="-3475.76"/>
    <n v="127938.23999999999"/>
    <m/>
    <n v="4140.8099999999995"/>
  </r>
  <r>
    <x v="6"/>
    <s v="46751"/>
    <s v="SHAKUN2"/>
    <x v="2"/>
    <s v="Beth El's Future"/>
    <n v="119635.82"/>
    <n v="0"/>
    <n v="-4751"/>
    <n v="2137.9299999999998"/>
    <n v="-1154.27"/>
    <n v="0"/>
    <n v="-4.43"/>
    <n v="2442.79"/>
    <n v="4.43"/>
    <n v="0"/>
    <n v="118311.26999999999"/>
    <m/>
    <n v="4580.7199999999993"/>
  </r>
  <r>
    <x v="6"/>
    <s v="46630"/>
    <s v="KOHN7"/>
    <x v="0"/>
    <s v="The Richard M. Kohn Endowment Fund"/>
    <n v="1160605.81"/>
    <n v="0"/>
    <n v="-56814"/>
    <n v="20557.57"/>
    <n v="-10840.650000000001"/>
    <n v="0"/>
    <n v="-42.61"/>
    <n v="23717.58"/>
    <n v="42.61"/>
    <n v="0"/>
    <n v="1137226.3100000003"/>
    <m/>
    <n v="44275.15"/>
  </r>
  <r>
    <x v="6"/>
    <s v="45234"/>
    <s v="LEIBOW1"/>
    <x v="1"/>
    <s v="Donald S. Leibowitz and Karen Brodsky Philanthropic Fund"/>
    <n v="105265.31"/>
    <n v="30250"/>
    <n v="-10600"/>
    <n v="2021.84"/>
    <n v="-1133.6399999999999"/>
    <n v="0"/>
    <n v="-3.86"/>
    <n v="2768.75"/>
    <n v="3.86"/>
    <n v="0"/>
    <n v="128572.26"/>
    <m/>
    <n v="4790.59"/>
  </r>
  <r>
    <x v="6"/>
    <s v="44365"/>
    <s v="DIAMON3"/>
    <x v="1"/>
    <s v="Rabbi James S. Diamond Memorial Fund"/>
    <n v="18567.990000000002"/>
    <n v="1500"/>
    <n v="0"/>
    <n v="366.55"/>
    <n v="-194.2"/>
    <n v="0"/>
    <n v="-0.72"/>
    <n v="385.96"/>
    <n v="0.72"/>
    <n v="0"/>
    <n v="20626.3"/>
    <m/>
    <n v="752.51"/>
  </r>
  <r>
    <x v="6"/>
    <s v="43836"/>
    <s v="ZLATIN1"/>
    <x v="1"/>
    <s v="Tikkun Olam Fund"/>
    <n v="1761.31"/>
    <n v="7760.3"/>
    <n v="-4260"/>
    <n v="49.84"/>
    <n v="-150"/>
    <n v="0"/>
    <n v="17.850000000000001"/>
    <n v="309.11"/>
    <n v="0.02"/>
    <n v="17.87"/>
    <n v="5488.4300000000012"/>
    <m/>
    <n v="376.82000000000005"/>
  </r>
  <r>
    <x v="6"/>
    <s v="43834"/>
    <s v="GARBER7"/>
    <x v="1"/>
    <s v="Eileen and Robert Garber Family Fund"/>
    <n v="10809.98"/>
    <n v="0"/>
    <n v="0"/>
    <n v="200.22"/>
    <n v="-150"/>
    <n v="0"/>
    <n v="-0.43"/>
    <n v="218.99"/>
    <n v="0.43"/>
    <n v="0"/>
    <n v="11079.189999999999"/>
    <m/>
    <n v="419.21000000000004"/>
  </r>
  <r>
    <x v="6"/>
    <s v="42917"/>
    <s v="UJFPMB5"/>
    <x v="0"/>
    <s v="UJFPMB Kravitz"/>
    <n v="114390.51"/>
    <n v="0"/>
    <n v="-5678"/>
    <n v="2024.52"/>
    <n v="-1095.3899999999999"/>
    <n v="0"/>
    <n v="-4.22"/>
    <n v="2336.89"/>
    <n v="4.22"/>
    <n v="0"/>
    <n v="111978.53"/>
    <m/>
    <n v="4361.41"/>
  </r>
  <r>
    <x v="6"/>
    <s v="42559"/>
    <s v="PUNIA1"/>
    <x v="3"/>
    <s v="Renee Punia Fund"/>
    <n v="118897.95"/>
    <n v="0"/>
    <n v="-5902"/>
    <n v="2104.36"/>
    <n v="-1138.54"/>
    <n v="0"/>
    <n v="-4.3899999999999997"/>
    <n v="2428.9"/>
    <n v="4.3899999999999997"/>
    <n v="0"/>
    <n v="116390.67"/>
    <m/>
    <n v="4533.26"/>
  </r>
  <r>
    <x v="6"/>
    <s v="42558"/>
    <s v="KEHILL1"/>
    <x v="3"/>
    <s v="The Kehillah Fund"/>
    <n v="102452.58"/>
    <n v="500"/>
    <n v="0"/>
    <n v="1915.21"/>
    <n v="0"/>
    <n v="0"/>
    <n v="-3.8"/>
    <n v="2149.86"/>
    <n v="3.8"/>
    <n v="0"/>
    <n v="107017.65000000001"/>
    <m/>
    <n v="4065.07"/>
  </r>
  <r>
    <x v="6"/>
    <s v="42557"/>
    <s v="FIF1"/>
    <x v="3"/>
    <s v="Foundation Investment Fund"/>
    <n v="112616.9"/>
    <n v="0"/>
    <n v="0"/>
    <n v="2098.7399999999998"/>
    <n v="0"/>
    <n v="0"/>
    <n v="-4.16"/>
    <n v="2331.4699999999998"/>
    <n v="4.16"/>
    <n v="0"/>
    <n v="117047.11"/>
    <m/>
    <n v="4430.2099999999991"/>
  </r>
  <r>
    <x v="6"/>
    <s v="42555"/>
    <s v="UJFPMB4"/>
    <x v="0"/>
    <s v="UJFPMB Julius and Dorothy Koppelman Designated Fund"/>
    <n v="453655.49"/>
    <n v="0"/>
    <n v="-50000"/>
    <n v="8414.56"/>
    <n v="-4508.37"/>
    <n v="0"/>
    <n v="-16.760000000000002"/>
    <n v="8007.06"/>
    <n v="16.760000000000002"/>
    <n v="0"/>
    <n v="415568.74"/>
    <m/>
    <n v="16421.62"/>
  </r>
  <r>
    <x v="6"/>
    <s v="42554"/>
    <s v="UJFPMB3"/>
    <x v="0"/>
    <s v="UJFPMB Shirley Kobak Lion of Judah Endowment Fund"/>
    <n v="94427.22"/>
    <n v="0"/>
    <n v="-4687"/>
    <n v="1671.27"/>
    <n v="-904.21999999999991"/>
    <n v="0"/>
    <n v="-3.48"/>
    <n v="1929.09"/>
    <n v="3.48"/>
    <n v="0"/>
    <n v="92436.36"/>
    <m/>
    <n v="3600.3599999999997"/>
  </r>
  <r>
    <x v="6"/>
    <s v="42553"/>
    <s v="UJFPMB2"/>
    <x v="0"/>
    <s v="UJFPMB Estates Fund"/>
    <n v="57249.34"/>
    <n v="0"/>
    <n v="0"/>
    <n v="1062.32"/>
    <n v="-568.93000000000006"/>
    <n v="0"/>
    <n v="-2.12"/>
    <n v="1166.6400000000001"/>
    <n v="2.12"/>
    <n v="0"/>
    <n v="58909.369999999995"/>
    <m/>
    <n v="2228.96"/>
  </r>
  <r>
    <x v="6"/>
    <s v="42552"/>
    <s v="SRF1"/>
    <x v="0"/>
    <s v="Soviet Resettlement Fund"/>
    <n v="1110.44"/>
    <n v="0"/>
    <n v="0"/>
    <n v="21.18"/>
    <n v="37.5"/>
    <n v="0"/>
    <n v="-0.05"/>
    <n v="25.6"/>
    <n v="0.05"/>
    <n v="0"/>
    <n v="1194.72"/>
    <m/>
    <n v="46.78"/>
  </r>
  <r>
    <x v="6"/>
    <s v="42551"/>
    <s v="PACK1"/>
    <x v="0"/>
    <s v="JFCS Pack Scholarship Fund"/>
    <n v="20139.87"/>
    <n v="0"/>
    <n v="-800"/>
    <n v="359.89"/>
    <n v="-194.29999999999998"/>
    <n v="0"/>
    <n v="-0.79"/>
    <n v="411.23"/>
    <n v="0.79"/>
    <n v="0"/>
    <n v="19916.689999999999"/>
    <m/>
    <n v="771.12"/>
  </r>
  <r>
    <x v="6"/>
    <s v="42550"/>
    <s v="AHALF1"/>
    <x v="0"/>
    <s v="AHA Sandy Light Fund"/>
    <n v="26573.64"/>
    <n v="1216"/>
    <n v="-1012"/>
    <n v="475.61"/>
    <n v="-256.7"/>
    <n v="0"/>
    <n v="-0.97"/>
    <n v="542.54"/>
    <n v="0.97"/>
    <n v="0"/>
    <n v="27539.09"/>
    <m/>
    <n v="1018.15"/>
  </r>
  <r>
    <x v="6"/>
    <s v="42549"/>
    <s v="SILK1"/>
    <x v="1"/>
    <s v="Allen and Judith Silk Philanthropic Fund"/>
    <n v="24220.48"/>
    <n v="0"/>
    <n v="0"/>
    <n v="449.41"/>
    <n v="-240.69"/>
    <n v="0"/>
    <n v="-0.91"/>
    <n v="493.49"/>
    <n v="0.91"/>
    <n v="0"/>
    <n v="24922.690000000002"/>
    <m/>
    <n v="942.90000000000009"/>
  </r>
  <r>
    <x v="6"/>
    <s v="42548"/>
    <s v="ROJER2"/>
    <x v="2"/>
    <s v="Goldie B. Rojer Hunger Relief Fund"/>
    <n v="56979.46"/>
    <n v="0"/>
    <n v="-2262"/>
    <n v="1018.22"/>
    <n v="-549.76"/>
    <n v="0"/>
    <n v="-2.11"/>
    <n v="1163.4000000000001"/>
    <n v="2.11"/>
    <n v="0"/>
    <n v="56349.32"/>
    <m/>
    <n v="2181.62"/>
  </r>
  <r>
    <x v="6"/>
    <s v="42547"/>
    <s v="BERKOW5"/>
    <x v="2"/>
    <s v="Anne and Bernard Berkowitz Legacy Fund"/>
    <n v="12719.85"/>
    <n v="0"/>
    <n v="-632"/>
    <n v="224.9"/>
    <n v="-150"/>
    <n v="0"/>
    <n v="-0.5"/>
    <n v="258.93"/>
    <n v="0.5"/>
    <n v="0"/>
    <n v="12421.68"/>
    <m/>
    <n v="483.83000000000004"/>
  </r>
  <r>
    <x v="6"/>
    <s v="42546"/>
    <s v="YSF1"/>
    <x v="4"/>
    <s v="Youth Scholarship Fund"/>
    <n v="5684.85"/>
    <n v="0"/>
    <n v="-1000"/>
    <n v="88.57"/>
    <n v="0"/>
    <n v="0"/>
    <n v="-0.25"/>
    <n v="108.03"/>
    <n v="0.25"/>
    <n v="0"/>
    <n v="4881.45"/>
    <m/>
    <n v="196.6"/>
  </r>
  <r>
    <x v="6"/>
    <s v="42545"/>
    <s v="WOLLIN1"/>
    <x v="4"/>
    <s v="Wollin Scholarship Fund"/>
    <n v="15920.18"/>
    <n v="0"/>
    <n v="-5000"/>
    <n v="208.56"/>
    <n v="-152.30000000000001"/>
    <n v="0"/>
    <n v="-0.61"/>
    <n v="276.17"/>
    <n v="0.61"/>
    <n v="0"/>
    <n v="11252.61"/>
    <m/>
    <n v="484.73"/>
  </r>
  <r>
    <x v="6"/>
    <s v="42544"/>
    <s v="UJFPMB1"/>
    <x v="4"/>
    <s v="UJFPMB Income Fund"/>
    <n v="11309.67"/>
    <n v="0"/>
    <n v="-449"/>
    <n v="201.78"/>
    <n v="-150"/>
    <n v="0"/>
    <n v="-0.45"/>
    <n v="229.62"/>
    <n v="0.45"/>
    <n v="0"/>
    <n v="11142.070000000002"/>
    <m/>
    <n v="431.4"/>
  </r>
  <r>
    <x v="6"/>
    <s v="42543"/>
    <s v="SIF1"/>
    <x v="4"/>
    <s v="Scholarship Investment Fund"/>
    <n v="29350.68"/>
    <n v="0"/>
    <n v="-980"/>
    <n v="527.61"/>
    <n v="-284.45999999999998"/>
    <n v="0"/>
    <n v="-1.1200000000000001"/>
    <n v="588.83000000000004"/>
    <n v="1.1200000000000001"/>
    <n v="0"/>
    <n v="29202.660000000003"/>
    <m/>
    <n v="1116.44"/>
  </r>
  <r>
    <x v="6"/>
    <s v="42542"/>
    <s v="OFFNER1"/>
    <x v="2"/>
    <s v="Offner JFCS Senior Services Fund"/>
    <n v="17171.060000000001"/>
    <n v="0"/>
    <n v="-682"/>
    <n v="306.83"/>
    <n v="-165.67000000000002"/>
    <n v="0"/>
    <n v="-0.65"/>
    <n v="350.56"/>
    <n v="0.65"/>
    <n v="0"/>
    <n v="16980.780000000006"/>
    <m/>
    <n v="657.39"/>
  </r>
  <r>
    <x v="6"/>
    <s v="42541"/>
    <s v="KLATZK2"/>
    <x v="4"/>
    <s v="Clive B. Klatzkin PACE Designated Fund"/>
    <n v="55226.12"/>
    <n v="0"/>
    <n v="0"/>
    <n v="1024.77"/>
    <n v="-548.83999999999992"/>
    <n v="0"/>
    <n v="-2.0499999999999998"/>
    <n v="1125.31"/>
    <n v="2.0499999999999998"/>
    <n v="0"/>
    <n v="56827.360000000001"/>
    <m/>
    <n v="2150.08"/>
  </r>
  <r>
    <x v="6"/>
    <s v="42540"/>
    <s v="KELSEY2"/>
    <x v="4"/>
    <s v="Harold H. Kelsey Greenwood House Fund"/>
    <n v="93829.64"/>
    <n v="0"/>
    <n v="-8231"/>
    <n v="1598.97"/>
    <n v="-872.44"/>
    <n v="0"/>
    <n v="-3.46"/>
    <n v="1920.6"/>
    <n v="3.46"/>
    <n v="0"/>
    <n v="88245.77"/>
    <m/>
    <n v="3519.5699999999997"/>
  </r>
  <r>
    <x v="6"/>
    <s v="42539"/>
    <s v="KAHN7"/>
    <x v="4"/>
    <s v="Albert B. Kahn Scholarship Fund"/>
    <n v="149578.79"/>
    <n v="0"/>
    <n v="-3290"/>
    <n v="2718.68"/>
    <n v="-1462.3600000000001"/>
    <n v="0"/>
    <n v="-5.53"/>
    <n v="3030.69"/>
    <n v="5.53"/>
    <n v="0"/>
    <n v="150575.80000000002"/>
    <m/>
    <n v="5749.37"/>
  </r>
  <r>
    <x v="6"/>
    <s v="42537"/>
    <s v="GHIF1"/>
    <x v="4"/>
    <s v="Greenwood House Income Fund"/>
    <n v="11904.72"/>
    <n v="0"/>
    <n v="-473"/>
    <n v="212.45"/>
    <n v="-150"/>
    <n v="0"/>
    <n v="-0.48"/>
    <n v="241.9"/>
    <n v="0.48"/>
    <n v="0"/>
    <n v="11736.07"/>
    <m/>
    <n v="454.35"/>
  </r>
  <r>
    <x v="6"/>
    <s v="42536"/>
    <s v="GLAZER2"/>
    <x v="4"/>
    <s v="Henry and Geralyn Glazer Greenwood House Scholarship Fund"/>
    <n v="39217.160000000003"/>
    <n v="0"/>
    <n v="-1500"/>
    <n v="701.81"/>
    <n v="-378.8"/>
    <n v="0"/>
    <n v="-1.46"/>
    <n v="800.72"/>
    <n v="1.46"/>
    <n v="0"/>
    <n v="38840.89"/>
    <m/>
    <n v="1502.53"/>
  </r>
  <r>
    <x v="6"/>
    <s v="42535"/>
    <s v="GARB3"/>
    <x v="4"/>
    <s v="Benjamin Garb Scholarship Fund"/>
    <n v="40446.620000000003"/>
    <n v="0"/>
    <n v="-1380"/>
    <n v="726.6"/>
    <n v="-391.78999999999996"/>
    <n v="0"/>
    <n v="-1.51"/>
    <n v="811.11"/>
    <n v="1.51"/>
    <n v="0"/>
    <n v="40212.54"/>
    <m/>
    <n v="1537.71"/>
  </r>
  <r>
    <x v="6"/>
    <s v="42534"/>
    <s v="EDINIT1"/>
    <x v="4"/>
    <s v="Educational Initiative Fund"/>
    <n v="108852.11"/>
    <n v="0"/>
    <n v="-4324"/>
    <n v="1945.18"/>
    <n v="-1050.22"/>
    <n v="0"/>
    <n v="-4"/>
    <n v="2222.56"/>
    <n v="4"/>
    <n v="0"/>
    <n v="107645.62999999999"/>
    <m/>
    <n v="4167.74"/>
  </r>
  <r>
    <x v="6"/>
    <s v="42533"/>
    <s v="DENBO4"/>
    <x v="4"/>
    <s v="Alexander &amp; Syble G. Denbo Penn State/Dickinson School of Law Fund"/>
    <n v="191335.83"/>
    <n v="0"/>
    <n v="-16871"/>
    <n v="3300.36"/>
    <n v="-1801.71"/>
    <n v="0"/>
    <n v="-7.08"/>
    <n v="3922.21"/>
    <n v="7.08"/>
    <n v="0"/>
    <n v="179885.68999999997"/>
    <m/>
    <n v="7222.57"/>
  </r>
  <r>
    <x v="6"/>
    <s v="42532"/>
    <s v="DENBO3"/>
    <x v="2"/>
    <s v="Alexander &amp; Syble G. Denbo JFCS Fund"/>
    <n v="1494876.62"/>
    <n v="0"/>
    <n v="-115892"/>
    <n v="26203.39"/>
    <n v="-13163.96"/>
    <n v="0"/>
    <n v="-55.21"/>
    <n v="30569.1"/>
    <n v="55.21"/>
    <n v="0"/>
    <n v="1422593.1500000001"/>
    <m/>
    <n v="56772.49"/>
  </r>
  <r>
    <x v="6"/>
    <s v="42531"/>
    <s v="DENBO2"/>
    <x v="2"/>
    <s v="Alexander &amp; Syble G. Denbo Greenwood House Fund"/>
    <n v="1142609.8400000001"/>
    <n v="0"/>
    <n v="-122042.95"/>
    <n v="19492.88"/>
    <n v="-10452.33"/>
    <n v="0"/>
    <n v="-42.2"/>
    <n v="23509.21"/>
    <n v="42.2"/>
    <n v="0"/>
    <n v="1053116.6500000001"/>
    <m/>
    <n v="43002.09"/>
  </r>
  <r>
    <x v="6"/>
    <s v="42530"/>
    <s v="DENBO1"/>
    <x v="4"/>
    <s v="Alexander Denbo School Fund"/>
    <n v="23763.87"/>
    <n v="0"/>
    <n v="-944"/>
    <n v="424.67"/>
    <n v="-229.28"/>
    <n v="0"/>
    <n v="-0.92"/>
    <n v="485.16"/>
    <n v="0.92"/>
    <n v="0"/>
    <n v="23500.42"/>
    <m/>
    <n v="909.83"/>
  </r>
  <r>
    <x v="6"/>
    <s v="42529"/>
    <s v="AHAPIF1"/>
    <x v="4"/>
    <s v="AHA Pooled Special Funds"/>
    <n v="3099.13"/>
    <n v="0"/>
    <n v="0"/>
    <n v="57.77"/>
    <n v="0"/>
    <n v="0"/>
    <n v="-0.13"/>
    <n v="64.209999999999994"/>
    <n v="0.13"/>
    <n v="0"/>
    <n v="3221.11"/>
    <m/>
    <n v="121.97999999999999"/>
  </r>
  <r>
    <x v="6"/>
    <s v="42528"/>
    <s v="ZELTT1"/>
    <x v="1"/>
    <s v="Harold &amp; Marilyn Zeltt Charitable Fund"/>
    <n v="947.07"/>
    <n v="0"/>
    <n v="-500"/>
    <n v="7.74"/>
    <n v="-150"/>
    <n v="0"/>
    <n v="-0.04"/>
    <n v="9.85"/>
    <n v="0.04"/>
    <n v="0"/>
    <n v="314.66000000000008"/>
    <m/>
    <n v="17.59"/>
  </r>
  <r>
    <x v="6"/>
    <s v="42527"/>
    <s v="WISOTS1"/>
    <x v="1"/>
    <s v="Wisotsky Family Philanthropic Fund"/>
    <n v="1469.71"/>
    <n v="4764.1499999999996"/>
    <n v="0"/>
    <n v="28.02"/>
    <n v="-150"/>
    <n v="0"/>
    <n v="-38.549999999999997"/>
    <n v="166.43"/>
    <n v="0.01"/>
    <n v="-38.54"/>
    <n v="6239.77"/>
    <m/>
    <n v="155.91000000000003"/>
  </r>
  <r>
    <x v="6"/>
    <s v="42525"/>
    <s v="URKEN1"/>
    <x v="1"/>
    <s v="Ernestine and Karl Urken Philanthropic Fund"/>
    <n v="17596.12"/>
    <n v="0"/>
    <n v="-100"/>
    <n v="324.76"/>
    <n v="-174.13"/>
    <n v="0"/>
    <n v="-0.68"/>
    <n v="357.63"/>
    <n v="0.68"/>
    <n v="0"/>
    <n v="18004.379999999997"/>
    <m/>
    <n v="682.39"/>
  </r>
  <r>
    <x v="6"/>
    <s v="42524"/>
    <s v="SUCHAR1"/>
    <x v="1"/>
    <s v="Sucharow Family Charitable Fund"/>
    <n v="357811.37"/>
    <n v="95859.6"/>
    <n v="-237000"/>
    <n v="4276.78"/>
    <n v="-2743.61"/>
    <n v="0"/>
    <n v="895.4"/>
    <n v="5652.25"/>
    <n v="13.18"/>
    <n v="908.57999999999993"/>
    <n v="224764.96999999997"/>
    <m/>
    <n v="10837.609999999999"/>
  </r>
  <r>
    <x v="6"/>
    <s v="42523"/>
    <s v="STIX1"/>
    <x v="1"/>
    <s v="Stix Charitable Fund"/>
    <n v="208997.02"/>
    <n v="0"/>
    <n v="0"/>
    <n v="3878.02"/>
    <n v="-2076.98"/>
    <n v="0"/>
    <n v="-7.71"/>
    <n v="4258.7"/>
    <n v="7.71"/>
    <n v="0"/>
    <n v="215056.75999999998"/>
    <m/>
    <n v="8136.7199999999993"/>
  </r>
  <r>
    <x v="6"/>
    <s v="42522"/>
    <s v="SMUKLE3"/>
    <x v="1"/>
    <s v="Smukler Fund"/>
    <n v="809072.67"/>
    <n v="0"/>
    <n v="-31400"/>
    <n v="14752.33"/>
    <n v="-7913.21"/>
    <n v="0"/>
    <n v="-29.89"/>
    <n v="15221.87"/>
    <n v="29.89"/>
    <n v="0"/>
    <n v="799733.66"/>
    <m/>
    <n v="29974.2"/>
  </r>
  <r>
    <x v="6"/>
    <s v="42520"/>
    <s v="SHECHT5"/>
    <x v="1"/>
    <s v="Shechtel Children's Fund"/>
    <n v="5212.9799999999996"/>
    <n v="0"/>
    <n v="-5089.3999999999996"/>
    <n v="69.39"/>
    <n v="-112.5"/>
    <n v="0"/>
    <n v="-0.04"/>
    <n v="-80.47"/>
    <n v="0.04"/>
    <n v="0"/>
    <n v="0"/>
    <m/>
    <n v="-11.079999999999998"/>
  </r>
  <r>
    <x v="6"/>
    <s v="42519"/>
    <s v="SCHWAR33"/>
    <x v="1"/>
    <s v="Judith &amp; Martin Schwartz Family Charitable Trust"/>
    <n v="120152"/>
    <n v="21209.75"/>
    <n v="-18650"/>
    <n v="2195.13"/>
    <n v="-1194.4099999999999"/>
    <n v="0"/>
    <n v="353.35"/>
    <n v="1802.2"/>
    <n v="4.45"/>
    <n v="357.8"/>
    <n v="125872.47"/>
    <m/>
    <n v="4355.13"/>
  </r>
  <r>
    <x v="6"/>
    <s v="42518"/>
    <s v="SCHNUR3"/>
    <x v="1"/>
    <s v="Schnur Family Philanthropic Fund"/>
    <n v="105160.83"/>
    <n v="0"/>
    <n v="-31000"/>
    <n v="1768.71"/>
    <n v="-963.48"/>
    <n v="0"/>
    <n v="-3.89"/>
    <n v="170.69"/>
    <n v="3.89"/>
    <n v="0"/>
    <n v="75136.750000000015"/>
    <m/>
    <n v="1939.4"/>
  </r>
  <r>
    <x v="6"/>
    <s v="42516"/>
    <s v="SHAKUN1"/>
    <x v="1"/>
    <s v="Shakun &amp; Devery Family Fund"/>
    <n v="48774.77"/>
    <n v="0"/>
    <n v="-16600"/>
    <n v="752.59"/>
    <n v="-423.4"/>
    <n v="0"/>
    <n v="-1.83"/>
    <n v="186.07"/>
    <n v="1.83"/>
    <n v="0"/>
    <n v="32690.029999999992"/>
    <m/>
    <n v="938.66000000000008"/>
  </r>
  <r>
    <x v="6"/>
    <s v="42515"/>
    <s v="SCHAEF7"/>
    <x v="1"/>
    <s v="Schaefer Family Philanthropic Fund"/>
    <n v="96623.39"/>
    <n v="80249.64"/>
    <n v="-36250"/>
    <n v="2623.19"/>
    <n v="-1292.8599999999999"/>
    <n v="0"/>
    <n v="17.940000000000001"/>
    <n v="5252.85"/>
    <n v="3.43"/>
    <n v="21.37"/>
    <n v="147227.58000000002"/>
    <m/>
    <n v="7897.4100000000008"/>
  </r>
  <r>
    <x v="6"/>
    <s v="42514"/>
    <s v="KOHN6"/>
    <x v="2"/>
    <s v="RMK PACE Fund"/>
    <n v="102057.83"/>
    <n v="0"/>
    <n v="-5066"/>
    <n v="1806.27"/>
    <n v="-977.29000000000008"/>
    <n v="0"/>
    <n v="-3.77"/>
    <n v="2084.91"/>
    <n v="3.77"/>
    <n v="0"/>
    <n v="99905.720000000016"/>
    <m/>
    <n v="3891.18"/>
  </r>
  <r>
    <x v="6"/>
    <s v="42513"/>
    <s v="PIMLEY1"/>
    <x v="1"/>
    <s v="Oliver Jenson Pimley Tzedakah Fund"/>
    <n v="9688.3700000000008"/>
    <n v="0"/>
    <n v="0"/>
    <n v="179.35"/>
    <n v="-150"/>
    <n v="0"/>
    <n v="-0.39"/>
    <n v="195.64"/>
    <n v="0.39"/>
    <n v="0"/>
    <n v="9913.36"/>
    <m/>
    <n v="374.99"/>
  </r>
  <r>
    <x v="6"/>
    <s v="42512"/>
    <s v="PERLMA8"/>
    <x v="1"/>
    <s v="Bonnie and Richard Perlman Philanthropic Fund"/>
    <n v="38004.26"/>
    <n v="0"/>
    <n v="-16950"/>
    <n v="559.66999999999996"/>
    <n v="-316.3"/>
    <n v="0"/>
    <n v="-1.44"/>
    <n v="729.16"/>
    <n v="1.44"/>
    <n v="0"/>
    <n v="22026.79"/>
    <m/>
    <n v="1288.83"/>
  </r>
  <r>
    <x v="6"/>
    <s v="42511"/>
    <s v="PERLMA7"/>
    <x v="1"/>
    <s v="B. Perlman Family Charitable Fund"/>
    <n v="1217.3399999999999"/>
    <n v="0"/>
    <n v="-600"/>
    <n v="11.52"/>
    <n v="-150"/>
    <n v="0"/>
    <n v="-0.06"/>
    <n v="22.18"/>
    <n v="0.06"/>
    <n v="0"/>
    <n v="501.03999999999991"/>
    <m/>
    <n v="33.700000000000003"/>
  </r>
  <r>
    <x v="6"/>
    <s v="42510"/>
    <s v="NEUMAN3"/>
    <x v="1"/>
    <s v="Jerry Neumann &amp; Naomi Richman Philanthropic Fund"/>
    <n v="134816.16"/>
    <n v="0"/>
    <n v="-6018"/>
    <n v="2413.0100000000002"/>
    <n v="-1303.71"/>
    <n v="0"/>
    <n v="-5"/>
    <n v="2700.96"/>
    <n v="5"/>
    <n v="0"/>
    <n v="132608.42000000001"/>
    <m/>
    <n v="5113.97"/>
  </r>
  <r>
    <x v="6"/>
    <s v="42509"/>
    <s v="MILLER147"/>
    <x v="1"/>
    <s v="Sue Ellen and David H. Miller Family Charitable Fund"/>
    <n v="17235.45"/>
    <n v="0"/>
    <n v="-500"/>
    <n v="316.7"/>
    <n v="-169.92000000000002"/>
    <n v="0"/>
    <n v="-0.67"/>
    <n v="298.82"/>
    <n v="0.67"/>
    <n v="0"/>
    <n v="17181.050000000003"/>
    <m/>
    <n v="615.52"/>
  </r>
  <r>
    <x v="6"/>
    <s v="42508"/>
    <s v="KLATZK1"/>
    <x v="1"/>
    <s v="Clive and Audrey Klatzkin Family Philanthropic Fund"/>
    <n v="62276.25"/>
    <n v="0"/>
    <n v="0"/>
    <n v="1155.55"/>
    <n v="-618.89"/>
    <n v="0"/>
    <n v="-2.33"/>
    <n v="1268.97"/>
    <n v="2.33"/>
    <n v="0"/>
    <n v="64081.880000000005"/>
    <m/>
    <n v="2424.52"/>
  </r>
  <r>
    <x v="6"/>
    <s v="42507"/>
    <s v="KALISH2"/>
    <x v="1"/>
    <s v="Peggy and Errol Kalish Philanthropic Fund"/>
    <n v="35833.31"/>
    <n v="0"/>
    <n v="-3750"/>
    <n v="618.46"/>
    <n v="-338.68"/>
    <n v="0"/>
    <n v="-1.34"/>
    <n v="574.20000000000005"/>
    <n v="1.34"/>
    <n v="0"/>
    <n v="32937.289999999994"/>
    <m/>
    <n v="1192.6600000000001"/>
  </r>
  <r>
    <x v="6"/>
    <s v="42506"/>
    <s v="KAHN6"/>
    <x v="1"/>
    <s v="Kahn Family Philanthropic Fund"/>
    <n v="15046.9"/>
    <n v="11927.7"/>
    <n v="-9200"/>
    <n v="317.7"/>
    <n v="-168.49"/>
    <n v="0"/>
    <n v="86.77"/>
    <n v="455.62"/>
    <n v="0.56999999999999995"/>
    <n v="87.339999999999989"/>
    <n v="18466.769999999997"/>
    <m/>
    <n v="860.66"/>
  </r>
  <r>
    <x v="6"/>
    <s v="42505"/>
    <s v="HARRIS51"/>
    <x v="1"/>
    <s v="Sara Jane and Morris Harris Philanthropic Fund"/>
    <n v="109214.39999999999"/>
    <n v="0"/>
    <n v="0"/>
    <n v="2026.51"/>
    <n v="-1085.3600000000001"/>
    <n v="0"/>
    <n v="-4.01"/>
    <n v="2225.44"/>
    <n v="4.01"/>
    <n v="0"/>
    <n v="112380.98999999999"/>
    <m/>
    <n v="4251.95"/>
  </r>
  <r>
    <x v="6"/>
    <s v="42504"/>
    <s v="GOODMA11"/>
    <x v="1"/>
    <s v="Goodman Family Philanthropic Fund"/>
    <n v="40358.42"/>
    <n v="0"/>
    <n v="0"/>
    <n v="748.86"/>
    <n v="-401.08"/>
    <n v="0"/>
    <n v="-1.51"/>
    <n v="822.37"/>
    <n v="1.51"/>
    <n v="0"/>
    <n v="41528.57"/>
    <m/>
    <n v="1571.23"/>
  </r>
  <r>
    <x v="6"/>
    <s v="42503"/>
    <s v="GOLDMA21"/>
    <x v="1"/>
    <s v="Debby and Peter Goldman Fund"/>
    <n v="203791.33"/>
    <n v="0"/>
    <n v="0"/>
    <n v="3781.42"/>
    <n v="-2025.2600000000002"/>
    <n v="0"/>
    <n v="-7.5"/>
    <n v="4152.63"/>
    <n v="7.5"/>
    <n v="0"/>
    <n v="209700.12"/>
    <m/>
    <n v="7934.05"/>
  </r>
  <r>
    <x v="6"/>
    <s v="42502"/>
    <s v="GLAZER1"/>
    <x v="1"/>
    <s v="Richard M. Glazer Philanthropic Fund"/>
    <n v="23643.73"/>
    <n v="0"/>
    <n v="-1250"/>
    <n v="422.49"/>
    <n v="-228.86"/>
    <n v="0"/>
    <n v="-0.91"/>
    <n v="447.51"/>
    <n v="0.91"/>
    <n v="0"/>
    <n v="23034.87"/>
    <m/>
    <n v="870"/>
  </r>
  <r>
    <x v="6"/>
    <s v="42499"/>
    <s v="FELDMA13"/>
    <x v="1"/>
    <s v="Talia Feldman Fund for Tzedakah"/>
    <n v="12520.21"/>
    <n v="0"/>
    <n v="-1650"/>
    <n v="215.76"/>
    <n v="-150"/>
    <n v="0"/>
    <n v="-0.49"/>
    <n v="221.76"/>
    <n v="0.49"/>
    <n v="0"/>
    <n v="11157.73"/>
    <m/>
    <n v="437.52"/>
  </r>
  <r>
    <x v="6"/>
    <s v="42498"/>
    <s v="FANNIN3"/>
    <x v="1"/>
    <s v="Lillian and Arthur Fanning Memorial Fund"/>
    <n v="45455.39"/>
    <n v="0"/>
    <n v="-7500"/>
    <n v="798.24"/>
    <n v="-431.91999999999996"/>
    <n v="0"/>
    <n v="-1.72"/>
    <n v="420.25"/>
    <n v="1.72"/>
    <n v="0"/>
    <n v="38741.96"/>
    <m/>
    <n v="1218.49"/>
  </r>
  <r>
    <x v="6"/>
    <s v="42497"/>
    <s v="FAMILA1"/>
    <x v="1"/>
    <s v="Rosalind &quot;Mimi&quot; and Aaron &quot;Poppy&quot; Familant Fund"/>
    <n v="19012.47"/>
    <n v="0"/>
    <n v="-2000"/>
    <n v="318.85000000000002"/>
    <n v="-174.51"/>
    <n v="0"/>
    <n v="-0.74"/>
    <n v="410.73"/>
    <n v="0.74"/>
    <n v="0"/>
    <n v="17567.54"/>
    <m/>
    <n v="729.58"/>
  </r>
  <r>
    <x v="6"/>
    <s v="42496"/>
    <s v="ENTIN1"/>
    <x v="1"/>
    <s v="Sadie and Leon Entin Memorial Fund"/>
    <n v="9717.26"/>
    <n v="0"/>
    <n v="-1100"/>
    <n v="163.65"/>
    <n v="-150"/>
    <n v="0"/>
    <n v="-0.4"/>
    <n v="158.88999999999999"/>
    <n v="0.4"/>
    <n v="0"/>
    <n v="8789.7999999999993"/>
    <m/>
    <n v="322.53999999999996"/>
  </r>
  <r>
    <x v="6"/>
    <s v="42495"/>
    <s v="EGGER2"/>
    <x v="1"/>
    <s v="Audrey and David Egger Charitable Fund"/>
    <n v="50795.59"/>
    <n v="44248"/>
    <n v="-18250"/>
    <n v="791.74"/>
    <n v="-438.65000000000003"/>
    <n v="0"/>
    <n v="36.53"/>
    <n v="762.2"/>
    <n v="1.55"/>
    <n v="38.08"/>
    <n v="77946.960000000006"/>
    <m/>
    <n v="1592.02"/>
  </r>
  <r>
    <x v="6"/>
    <s v="42494"/>
    <s v="COHEN57"/>
    <x v="1"/>
    <s v="Janet and Howard Cohen Philanthropic Fund"/>
    <n v="49240.79"/>
    <n v="7000"/>
    <n v="-1878"/>
    <n v="937.02"/>
    <n v="-517.29999999999995"/>
    <n v="0"/>
    <n v="-1.82"/>
    <n v="1715.76"/>
    <n v="1.82"/>
    <n v="0"/>
    <n v="56498.27"/>
    <m/>
    <n v="2652.7799999999997"/>
  </r>
  <r>
    <x v="6"/>
    <s v="42493"/>
    <s v="BURNS15"/>
    <x v="1"/>
    <s v="Joseph Burns Fund"/>
    <n v="20475.05"/>
    <n v="2000"/>
    <n v="0"/>
    <n v="392.41"/>
    <n v="-213.93"/>
    <n v="0"/>
    <n v="-0.77"/>
    <n v="626.49"/>
    <n v="0.77"/>
    <n v="0"/>
    <n v="23280.02"/>
    <m/>
    <n v="1018.9000000000001"/>
  </r>
  <r>
    <x v="6"/>
    <s v="42492"/>
    <s v="BERMAN14"/>
    <x v="1"/>
    <s v="Ronald and Marie Berman Philanthropic Fund"/>
    <n v="18820.84"/>
    <n v="0"/>
    <n v="-5220"/>
    <n v="286.85000000000002"/>
    <n v="-170.47"/>
    <n v="0"/>
    <n v="-0.73"/>
    <n v="0.46"/>
    <n v="0.73"/>
    <n v="0"/>
    <n v="13717.68"/>
    <m/>
    <n v="287.31"/>
  </r>
  <r>
    <x v="6"/>
    <s v="42491"/>
    <s v="BERGER10"/>
    <x v="1"/>
    <s v="Samuel S. and Regina Berger Charitable Fund"/>
    <n v="11294.66"/>
    <n v="0"/>
    <n v="0"/>
    <n v="209.29"/>
    <n v="-150"/>
    <n v="0"/>
    <n v="-0.45"/>
    <n v="229.03"/>
    <n v="0.45"/>
    <n v="0"/>
    <n v="11582.980000000001"/>
    <m/>
    <n v="438.32"/>
  </r>
  <r>
    <x v="6"/>
    <s v="42490"/>
    <s v="AXELRO4"/>
    <x v="1"/>
    <s v="Axelrod Family Fund"/>
    <n v="62539.62"/>
    <n v="0"/>
    <n v="-4600"/>
    <n v="1144"/>
    <n v="-616.53"/>
    <n v="0"/>
    <n v="-2.33"/>
    <n v="1227.56"/>
    <n v="2.33"/>
    <n v="0"/>
    <n v="59694.65"/>
    <m/>
    <n v="2371.56"/>
  </r>
  <r>
    <x v="6"/>
    <s v="42489"/>
    <s v="APPLES1"/>
    <x v="1"/>
    <s v="Louis Applestein Memorial Fund"/>
    <n v="29808.55"/>
    <n v="0"/>
    <n v="0"/>
    <n v="553.13"/>
    <n v="-296.24"/>
    <n v="0"/>
    <n v="-1.1399999999999999"/>
    <n v="607.39"/>
    <n v="1.1399999999999999"/>
    <n v="0"/>
    <n v="30672.829999999998"/>
    <m/>
    <n v="1160.52"/>
  </r>
  <r>
    <x v="6"/>
    <s v="42488"/>
    <s v="ANSHEN1"/>
    <x v="1"/>
    <s v="Rose Perlman Anshen and Harold Anshen Memorial Fund"/>
    <n v="28155.93"/>
    <n v="0"/>
    <n v="-750"/>
    <n v="519.33000000000004"/>
    <n v="-278.54999999999995"/>
    <n v="0"/>
    <n v="-1.07"/>
    <n v="556.79999999999995"/>
    <n v="1.07"/>
    <n v="0"/>
    <n v="28203.510000000002"/>
    <m/>
    <n v="1076.1300000000001"/>
  </r>
  <r>
    <x v="6"/>
    <s v="141710"/>
    <s v="MALBER1"/>
    <x v="1"/>
    <s v="Ariel Eden Malberg Memorial Fund"/>
    <n v="0"/>
    <n v="115400"/>
    <n v="0"/>
    <n v="1561.05"/>
    <n v="-588.36"/>
    <n v="0"/>
    <n v="0"/>
    <n v="8064.58"/>
    <n v="0"/>
    <n v="0"/>
    <n v="124437.27"/>
    <m/>
    <n v="9625.62999999999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4F0AF2-67C0-49B8-9E8E-37C785639B1F}" name="PivotTable1" cacheId="2" dataOnRows="1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>
  <location ref="B45:J52" firstHeaderRow="1" firstDataRow="2" firstDataCol="1" rowPageCount="1" colPageCount="1"/>
  <pivotFields count="18">
    <pivotField axis="axisCol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axis="axisPage" compact="0" outline="0" subtotalTop="0" multipleItemSelectionAllowed="1" showAll="0" defaultSubtotal="0">
      <items count="5">
        <item x="0"/>
        <item x="1"/>
        <item x="2"/>
        <item x="4"/>
        <item h="1" x="3"/>
      </items>
    </pivotField>
    <pivotField compact="0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compact="0" numFmtId="43" outline="0" subtotalTop="0" showAll="0" defaultSubtotal="0"/>
    <pivotField dataField="1" compact="0" numFmtId="43" outline="0" subtotalTop="0" showAll="0" defaultSubtotal="0"/>
    <pivotField compact="0" outline="0" subtotalTop="0" showAll="0" defaultSubtotal="0"/>
    <pivotField dataField="1" compact="0" numFmtId="43" outline="0" subtotalTop="0" showAll="0" defaultSubtotal="0"/>
  </pivotFields>
  <rowFields count="1">
    <field x="-2"/>
  </rowFields>
  <rowItems count="6">
    <i>
      <x/>
    </i>
    <i i="1">
      <x v="1"/>
    </i>
    <i i="2">
      <x v="2"/>
    </i>
    <i i="3">
      <x v="3"/>
    </i>
    <i i="4">
      <x v="4"/>
    </i>
    <i i="5">
      <x v="5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3" hier="-1"/>
  </pageFields>
  <dataFields count="6">
    <dataField name="Sum of Beginning Balance" fld="5" baseField="0" baseItem="0"/>
    <dataField name="Sum of Receipts" fld="6" baseField="0" baseItem="0"/>
    <dataField name="Sum of Disbursements" fld="7" baseField="0" baseItem="0"/>
    <dataField name="Sum of Income, Gains &amp; Losses" fld="17" baseField="0" baseItem="0"/>
    <dataField name="Sum of Fees" fld="9" baseField="0" baseItem="0"/>
    <dataField name="Sum of Ending Balance" fld="15" baseField="0" baseItem="0"/>
  </dataFields>
  <formats count="12">
    <format dxfId="11">
      <pivotArea type="all" dataOnly="0" outline="0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outline="0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73F3-CABE-4EAF-85DB-70C843C20F68}">
  <dimension ref="A1:Z55"/>
  <sheetViews>
    <sheetView topLeftCell="B7" zoomScaleNormal="100" workbookViewId="0">
      <pane xSplit="3" ySplit="2" topLeftCell="K9" activePane="bottomRight" state="frozen"/>
      <selection activeCell="B7" sqref="B7"/>
      <selection pane="topRight" activeCell="E7" sqref="E7"/>
      <selection pane="bottomLeft" activeCell="B9" sqref="B9"/>
      <selection pane="bottomRight" activeCell="P17" sqref="P17"/>
    </sheetView>
  </sheetViews>
  <sheetFormatPr defaultColWidth="9.140625" defaultRowHeight="15" x14ac:dyDescent="0.25"/>
  <cols>
    <col min="1" max="1" width="3.5703125" style="22" hidden="1" customWidth="1"/>
    <col min="2" max="2" width="25.7109375" style="22" customWidth="1"/>
    <col min="3" max="3" width="14.85546875" style="22" customWidth="1"/>
    <col min="4" max="4" width="19.42578125" style="22" customWidth="1"/>
    <col min="5" max="5" width="12.5703125" style="22" customWidth="1"/>
    <col min="6" max="6" width="11.28515625" style="22" customWidth="1"/>
    <col min="7" max="7" width="13.28515625" style="22" customWidth="1"/>
    <col min="8" max="8" width="12" style="22" customWidth="1"/>
    <col min="9" max="9" width="10.5703125" style="22" bestFit="1" customWidth="1"/>
    <col min="10" max="10" width="13.85546875" style="22" customWidth="1"/>
    <col min="11" max="16" width="11.28515625" style="22" customWidth="1"/>
    <col min="17" max="17" width="10.42578125" style="22" customWidth="1"/>
    <col min="18" max="18" width="1.28515625" style="22" customWidth="1"/>
    <col min="19" max="19" width="1.42578125" style="22" customWidth="1"/>
    <col min="20" max="24" width="15.7109375" style="22" customWidth="1"/>
    <col min="25" max="25" width="21.7109375" style="22" bestFit="1" customWidth="1"/>
    <col min="26" max="26" width="19.42578125" style="22" bestFit="1" customWidth="1"/>
    <col min="27" max="16384" width="9.140625" style="22"/>
  </cols>
  <sheetData>
    <row r="1" spans="1:26" s="36" customFormat="1" ht="26.25" customHeight="1" x14ac:dyDescent="0.2">
      <c r="A1" s="100" t="s">
        <v>133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26" s="36" customFormat="1" ht="26.25" customHeight="1" x14ac:dyDescent="0.2">
      <c r="A2" s="100" t="s">
        <v>134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26" s="36" customFormat="1" ht="26.25" x14ac:dyDescent="0.4">
      <c r="A3" s="101" t="s">
        <v>145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26" s="36" customFormat="1" ht="26.25" x14ac:dyDescent="0.4">
      <c r="A4" s="101" t="s">
        <v>146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26" s="36" customFormat="1" ht="26.25" x14ac:dyDescent="0.2">
      <c r="A5" s="102" t="s">
        <v>135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26" s="36" customFormat="1" ht="27.75" customHeight="1" x14ac:dyDescent="0.3">
      <c r="A6" s="37"/>
      <c r="B6" s="37"/>
      <c r="C6" s="37"/>
      <c r="D6" s="37"/>
      <c r="E6" s="37"/>
      <c r="F6" s="37"/>
      <c r="G6" s="37"/>
      <c r="H6" s="37"/>
      <c r="I6" s="37"/>
      <c r="J6" s="22"/>
      <c r="K6" s="22"/>
      <c r="L6" s="22"/>
      <c r="M6" s="22"/>
      <c r="N6" s="22"/>
      <c r="O6" s="22"/>
      <c r="P6" s="22"/>
      <c r="Q6" s="22"/>
    </row>
    <row r="7" spans="1:26" s="36" customFormat="1" x14ac:dyDescent="0.25">
      <c r="A7" s="22"/>
      <c r="B7" s="22"/>
      <c r="C7" s="22"/>
      <c r="D7" s="22"/>
      <c r="H7" s="38"/>
      <c r="I7" s="22"/>
      <c r="J7" s="22"/>
      <c r="K7" s="22"/>
      <c r="L7" s="22"/>
      <c r="M7" s="22"/>
      <c r="N7" s="22"/>
      <c r="O7" s="22"/>
      <c r="P7" s="22"/>
      <c r="Q7" s="22"/>
    </row>
    <row r="8" spans="1:26" s="36" customFormat="1" ht="45" customHeight="1" x14ac:dyDescent="0.25">
      <c r="A8" s="22"/>
      <c r="B8" s="22"/>
      <c r="C8" s="22"/>
      <c r="D8" s="22"/>
      <c r="E8" s="39" t="s">
        <v>147</v>
      </c>
      <c r="F8" s="39" t="s">
        <v>148</v>
      </c>
      <c r="G8" s="39" t="s">
        <v>149</v>
      </c>
      <c r="H8" s="39" t="s">
        <v>150</v>
      </c>
      <c r="I8" s="39" t="s">
        <v>151</v>
      </c>
      <c r="J8" s="39" t="s">
        <v>152</v>
      </c>
      <c r="K8" s="39" t="s">
        <v>153</v>
      </c>
      <c r="L8" s="39" t="s">
        <v>154</v>
      </c>
      <c r="M8" s="39" t="s">
        <v>155</v>
      </c>
      <c r="N8" s="39" t="s">
        <v>178</v>
      </c>
      <c r="O8" s="39" t="s">
        <v>185</v>
      </c>
      <c r="P8" s="39" t="s">
        <v>217</v>
      </c>
      <c r="Q8" s="40" t="s">
        <v>218</v>
      </c>
      <c r="R8" s="41"/>
    </row>
    <row r="9" spans="1:26" s="36" customFormat="1" ht="23.25" x14ac:dyDescent="0.35">
      <c r="A9" s="22"/>
      <c r="B9" s="42" t="s">
        <v>156</v>
      </c>
      <c r="C9" s="22"/>
      <c r="D9" s="22"/>
      <c r="E9" s="43"/>
      <c r="F9" s="43"/>
      <c r="G9" s="43"/>
      <c r="H9" s="43"/>
      <c r="I9" s="43"/>
      <c r="J9" s="43"/>
      <c r="K9" s="43"/>
      <c r="L9" s="43"/>
      <c r="M9" s="22"/>
      <c r="N9" s="22"/>
      <c r="O9" s="22"/>
      <c r="P9" s="22"/>
      <c r="Q9" s="44"/>
      <c r="R9" s="45"/>
    </row>
    <row r="10" spans="1:26" s="36" customFormat="1" x14ac:dyDescent="0.25">
      <c r="A10" s="22"/>
      <c r="B10" s="22"/>
      <c r="C10" s="22"/>
      <c r="D10" s="22"/>
      <c r="E10" s="46"/>
      <c r="F10" s="43"/>
      <c r="G10" s="43"/>
      <c r="H10" s="43"/>
      <c r="I10" s="43"/>
      <c r="J10" s="43"/>
      <c r="K10" s="43"/>
      <c r="L10" s="43"/>
      <c r="M10" s="47"/>
      <c r="N10" s="47"/>
      <c r="O10" s="47"/>
      <c r="P10" s="47"/>
      <c r="Q10" s="48"/>
      <c r="R10" s="45"/>
      <c r="U10" s="36" t="s">
        <v>210</v>
      </c>
      <c r="V10" s="36" t="s">
        <v>211</v>
      </c>
    </row>
    <row r="11" spans="1:26" s="36" customFormat="1" ht="18" customHeight="1" x14ac:dyDescent="0.3">
      <c r="B11" s="49" t="s">
        <v>157</v>
      </c>
      <c r="D11" s="50"/>
      <c r="E11" s="51">
        <f>+C47/10^6</f>
        <v>6.7799264599999995</v>
      </c>
      <c r="F11" s="51">
        <f t="shared" ref="F11:L11" si="0">+E17</f>
        <v>7.355995029999999</v>
      </c>
      <c r="G11" s="51">
        <f t="shared" si="0"/>
        <v>8.8975125699999982</v>
      </c>
      <c r="H11" s="51">
        <f t="shared" si="0"/>
        <v>8.4806887299999989</v>
      </c>
      <c r="I11" s="51">
        <f t="shared" si="0"/>
        <v>8.3226854699999997</v>
      </c>
      <c r="J11" s="51">
        <f t="shared" si="0"/>
        <v>10.52460597</v>
      </c>
      <c r="K11" s="51">
        <f t="shared" si="0"/>
        <v>10.89581907</v>
      </c>
      <c r="L11" s="51">
        <f t="shared" si="0"/>
        <v>10.945213580000001</v>
      </c>
      <c r="M11" s="51">
        <f>+L17</f>
        <v>10.479769140000002</v>
      </c>
      <c r="N11" s="51">
        <f>+M17</f>
        <v>14.680762140000001</v>
      </c>
      <c r="O11" s="51">
        <f>+N17</f>
        <v>12.921371140000002</v>
      </c>
      <c r="P11" s="51">
        <f>+O17</f>
        <v>14.721237140000001</v>
      </c>
      <c r="Q11" s="52">
        <f>+E11</f>
        <v>6.7799264599999995</v>
      </c>
      <c r="R11" s="45"/>
      <c r="U11" s="36" t="s">
        <v>212</v>
      </c>
      <c r="V11" s="58">
        <f>+'Funds and Assets'!H24</f>
        <v>0</v>
      </c>
    </row>
    <row r="12" spans="1:26" s="36" customFormat="1" ht="18" customHeight="1" x14ac:dyDescent="0.3">
      <c r="B12" s="49" t="s">
        <v>158</v>
      </c>
      <c r="D12" s="50"/>
      <c r="E12" s="51">
        <f>+C48/10^6</f>
        <v>0.83821375999999992</v>
      </c>
      <c r="F12" s="51">
        <f t="shared" ref="F12:K15" si="1">+D48/10^6</f>
        <v>1.1313998599999999</v>
      </c>
      <c r="G12" s="51">
        <f t="shared" si="1"/>
        <v>0.65697110000000014</v>
      </c>
      <c r="H12" s="51">
        <f t="shared" si="1"/>
        <v>1.3064777299999999</v>
      </c>
      <c r="I12" s="51">
        <f t="shared" si="1"/>
        <v>2.0766917600000001</v>
      </c>
      <c r="J12" s="51">
        <f t="shared" si="1"/>
        <v>1.0590322000000001</v>
      </c>
      <c r="K12" s="51">
        <f t="shared" si="1"/>
        <v>1.23016897</v>
      </c>
      <c r="L12" s="51">
        <f>+'[1]Summary of Activities Report'!$E$46/10^6</f>
        <v>0.96984260999999983</v>
      </c>
      <c r="M12" s="51">
        <f>3008866/10^6</f>
        <v>3.0088659999999998</v>
      </c>
      <c r="N12" s="51">
        <f>2573997/10^6</f>
        <v>2.5739969999999999</v>
      </c>
      <c r="O12" s="51">
        <f>1521238/10^6</f>
        <v>1.5212380000000001</v>
      </c>
      <c r="P12" s="51">
        <f>760803/10^6</f>
        <v>0.76080300000000001</v>
      </c>
      <c r="Q12" s="52">
        <f>SUM(E12:P12)</f>
        <v>17.133701989999999</v>
      </c>
      <c r="R12" s="45"/>
      <c r="U12" s="36" t="s">
        <v>213</v>
      </c>
    </row>
    <row r="13" spans="1:26" s="36" customFormat="1" ht="18" customHeight="1" x14ac:dyDescent="0.3">
      <c r="B13" s="49" t="s">
        <v>159</v>
      </c>
      <c r="D13" s="50"/>
      <c r="E13" s="51">
        <f>+C49/10^6</f>
        <v>-0.94829133999999993</v>
      </c>
      <c r="F13" s="51">
        <f t="shared" si="1"/>
        <v>-0.81162242999999989</v>
      </c>
      <c r="G13" s="51">
        <f t="shared" si="1"/>
        <v>-1.09932192</v>
      </c>
      <c r="H13" s="51">
        <f t="shared" si="1"/>
        <v>-1.27069422</v>
      </c>
      <c r="I13" s="51">
        <f t="shared" si="1"/>
        <v>-0.94343860000000002</v>
      </c>
      <c r="J13" s="51">
        <f t="shared" si="1"/>
        <v>-1.4037089900000002</v>
      </c>
      <c r="K13" s="51">
        <f t="shared" si="1"/>
        <v>-1.5125359199999999</v>
      </c>
      <c r="L13" s="51">
        <f>+'[1]Summary of Activities Report'!$F$46/10^6</f>
        <v>-1.3504425</v>
      </c>
      <c r="M13" s="51">
        <f>-1406567/10^6</f>
        <v>-1.4065669999999999</v>
      </c>
      <c r="N13" s="51">
        <f>-1616209/10^6</f>
        <v>-1.616209</v>
      </c>
      <c r="O13" s="51">
        <f>-1578257/10^6</f>
        <v>-1.578257</v>
      </c>
      <c r="P13" s="51">
        <f>-608922/10^6</f>
        <v>-0.60892199999999996</v>
      </c>
      <c r="Q13" s="52">
        <f>SUM(E13:P13)</f>
        <v>-14.55001092</v>
      </c>
      <c r="R13" s="45"/>
      <c r="Y13" s="36" t="s">
        <v>160</v>
      </c>
    </row>
    <row r="14" spans="1:26" s="36" customFormat="1" ht="18" customHeight="1" x14ac:dyDescent="0.3">
      <c r="B14" s="49" t="s">
        <v>161</v>
      </c>
      <c r="D14" s="50"/>
      <c r="E14" s="51">
        <f>+C50/10^6</f>
        <v>0.75534582000000006</v>
      </c>
      <c r="F14" s="51">
        <f t="shared" si="1"/>
        <v>1.3001116499999998</v>
      </c>
      <c r="G14" s="51">
        <f t="shared" si="1"/>
        <v>0.11003288000000006</v>
      </c>
      <c r="H14" s="51">
        <f t="shared" si="1"/>
        <v>-0.11325913000000001</v>
      </c>
      <c r="I14" s="51">
        <f t="shared" si="1"/>
        <v>1.1585334100000002</v>
      </c>
      <c r="J14" s="51">
        <f t="shared" si="1"/>
        <v>0.82240797000000032</v>
      </c>
      <c r="K14" s="51">
        <f t="shared" si="1"/>
        <v>0.43931713000000006</v>
      </c>
      <c r="L14" s="51">
        <f>+'[1]Summary of Activities Report'!$G$47/10^6</f>
        <v>4.5046309999999999E-2</v>
      </c>
      <c r="M14" s="51">
        <f>(2715821)/10^6</f>
        <v>2.715821</v>
      </c>
      <c r="N14" s="51">
        <f>+(332282-2898796)/10^6</f>
        <v>-2.5665140000000002</v>
      </c>
      <c r="O14" s="51">
        <f>+(324406+1666535)/10^6</f>
        <v>1.9909410000000001</v>
      </c>
      <c r="P14" s="51">
        <f>-(811404)/10^6</f>
        <v>-0.81140400000000001</v>
      </c>
      <c r="Q14" s="52">
        <f>SUM(E14:P14)</f>
        <v>5.8463800399999997</v>
      </c>
      <c r="R14" s="45"/>
    </row>
    <row r="15" spans="1:26" s="36" customFormat="1" ht="18" customHeight="1" x14ac:dyDescent="0.3">
      <c r="B15" s="49" t="s">
        <v>162</v>
      </c>
      <c r="D15" s="50"/>
      <c r="E15" s="53">
        <f>+C51/10^6</f>
        <v>-6.9199670000000019E-2</v>
      </c>
      <c r="F15" s="53">
        <f t="shared" si="1"/>
        <v>-7.8371540000000031E-2</v>
      </c>
      <c r="G15" s="53">
        <f t="shared" si="1"/>
        <v>-8.4505899999999995E-2</v>
      </c>
      <c r="H15" s="53">
        <f t="shared" si="1"/>
        <v>-8.0527640000000011E-2</v>
      </c>
      <c r="I15" s="53">
        <f t="shared" si="1"/>
        <v>-8.9866070000000034E-2</v>
      </c>
      <c r="J15" s="53">
        <f t="shared" si="1"/>
        <v>-0.10651808000000003</v>
      </c>
      <c r="K15" s="53">
        <f t="shared" si="1"/>
        <v>-0.10755566999999999</v>
      </c>
      <c r="L15" s="53">
        <f>+'[1]Summary of Activities Report'!$H$46/10^6</f>
        <v>-0.12989086</v>
      </c>
      <c r="M15" s="54">
        <f>-117127/10^6</f>
        <v>-0.117127</v>
      </c>
      <c r="N15" s="53">
        <f>-150665/10^6</f>
        <v>-0.15066499999999999</v>
      </c>
      <c r="O15" s="53">
        <f>-134056/10^6</f>
        <v>-0.13405600000000001</v>
      </c>
      <c r="P15" s="53">
        <f>-71734/10^6</f>
        <v>-7.1734000000000006E-2</v>
      </c>
      <c r="Q15" s="86">
        <f>SUM(E15:P15)</f>
        <v>-1.2200174300000002</v>
      </c>
      <c r="R15" s="55"/>
      <c r="Z15" s="56">
        <v>-1242047.3999999999</v>
      </c>
    </row>
    <row r="16" spans="1:26" s="36" customFormat="1" ht="18" customHeight="1" x14ac:dyDescent="0.3">
      <c r="B16" s="49"/>
      <c r="D16" s="50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2"/>
      <c r="R16" s="45"/>
      <c r="X16" s="36" t="s">
        <v>73</v>
      </c>
      <c r="Y16" s="58">
        <v>1638838.98</v>
      </c>
    </row>
    <row r="17" spans="1:26" s="36" customFormat="1" ht="19.5" thickBot="1" x14ac:dyDescent="0.35">
      <c r="B17" s="49" t="s">
        <v>163</v>
      </c>
      <c r="D17" s="50"/>
      <c r="E17" s="59">
        <f t="shared" ref="E17:N17" si="2">SUM(E11:E15)</f>
        <v>7.355995029999999</v>
      </c>
      <c r="F17" s="59">
        <f t="shared" si="2"/>
        <v>8.8975125699999982</v>
      </c>
      <c r="G17" s="59">
        <f t="shared" si="2"/>
        <v>8.4806887299999989</v>
      </c>
      <c r="H17" s="59">
        <f t="shared" si="2"/>
        <v>8.3226854699999997</v>
      </c>
      <c r="I17" s="59">
        <f t="shared" si="2"/>
        <v>10.52460597</v>
      </c>
      <c r="J17" s="59">
        <f t="shared" si="2"/>
        <v>10.89581907</v>
      </c>
      <c r="K17" s="59">
        <f t="shared" si="2"/>
        <v>10.945213580000001</v>
      </c>
      <c r="L17" s="59">
        <f t="shared" si="2"/>
        <v>10.479769140000002</v>
      </c>
      <c r="M17" s="59">
        <f t="shared" si="2"/>
        <v>14.680762140000001</v>
      </c>
      <c r="N17" s="59">
        <f t="shared" si="2"/>
        <v>12.921371140000002</v>
      </c>
      <c r="O17" s="59">
        <f t="shared" ref="O17:P17" si="3">SUM(O11:O15)</f>
        <v>14.721237140000001</v>
      </c>
      <c r="P17" s="59">
        <f t="shared" si="3"/>
        <v>13.989980140000002</v>
      </c>
      <c r="Q17" s="60">
        <f>SUM(Q11:Q15)</f>
        <v>13.989980139999997</v>
      </c>
      <c r="R17" s="61"/>
      <c r="X17" s="36" t="s">
        <v>72</v>
      </c>
      <c r="Y17" s="58"/>
    </row>
    <row r="18" spans="1:26" s="36" customFormat="1" ht="12.75" customHeight="1" thickTop="1" x14ac:dyDescent="0.3">
      <c r="A18" s="50"/>
      <c r="B18" s="50"/>
      <c r="D18" s="50"/>
      <c r="F18" s="22"/>
      <c r="G18" s="22"/>
      <c r="H18" s="22"/>
      <c r="I18" s="51"/>
      <c r="J18" s="22"/>
      <c r="K18" s="62"/>
      <c r="L18" s="62"/>
      <c r="M18" s="22"/>
      <c r="N18" s="22"/>
      <c r="O18" s="22"/>
      <c r="P18" s="22"/>
      <c r="Q18" s="63"/>
      <c r="R18" s="55"/>
      <c r="X18" s="64" t="s">
        <v>71</v>
      </c>
      <c r="Y18" s="58">
        <v>297559.17</v>
      </c>
      <c r="Z18" s="65">
        <f>+Y18+Y20</f>
        <v>2009430.2699999998</v>
      </c>
    </row>
    <row r="19" spans="1:26" s="36" customFormat="1" ht="18.75" x14ac:dyDescent="0.3">
      <c r="B19" s="6"/>
      <c r="D19" s="22"/>
      <c r="E19" s="51">
        <f>+E14+E15</f>
        <v>0.68614615000000001</v>
      </c>
      <c r="F19" s="51">
        <f t="shared" ref="F19:M19" si="4">+F14+F15</f>
        <v>1.2217401099999998</v>
      </c>
      <c r="G19" s="51">
        <f t="shared" si="4"/>
        <v>2.552698000000006E-2</v>
      </c>
      <c r="H19" s="51">
        <f t="shared" si="4"/>
        <v>-0.19378677000000002</v>
      </c>
      <c r="I19" s="51">
        <f t="shared" si="4"/>
        <v>1.0686673400000002</v>
      </c>
      <c r="J19" s="51">
        <f t="shared" si="4"/>
        <v>0.71588989000000025</v>
      </c>
      <c r="K19" s="51">
        <f t="shared" si="4"/>
        <v>0.33176146000000006</v>
      </c>
      <c r="L19" s="51">
        <f t="shared" si="4"/>
        <v>-8.4844549999999991E-2</v>
      </c>
      <c r="M19" s="51">
        <f t="shared" si="4"/>
        <v>2.5986940000000001</v>
      </c>
      <c r="N19" s="51">
        <f t="shared" ref="N19:O19" si="5">+N14+N15</f>
        <v>-2.7171790000000002</v>
      </c>
      <c r="O19" s="51">
        <f t="shared" si="5"/>
        <v>1.8568850000000001</v>
      </c>
      <c r="P19" s="51">
        <f t="shared" ref="P19" si="6">+P14+P15</f>
        <v>-0.88313799999999998</v>
      </c>
      <c r="Q19" s="51"/>
      <c r="X19" s="64" t="s">
        <v>164</v>
      </c>
      <c r="Y19" s="58">
        <v>-75</v>
      </c>
    </row>
    <row r="20" spans="1:26" s="36" customFormat="1" ht="18.75" x14ac:dyDescent="0.3">
      <c r="B20" s="6"/>
      <c r="D20" s="22"/>
      <c r="E20" s="66">
        <f>+E19/E17</f>
        <v>9.3277136159239646E-2</v>
      </c>
      <c r="F20" s="66">
        <f t="shared" ref="F20:M20" si="7">+F19/F17</f>
        <v>0.13731254666831003</v>
      </c>
      <c r="G20" s="66">
        <f t="shared" si="7"/>
        <v>3.0100126077849888E-3</v>
      </c>
      <c r="H20" s="66">
        <f t="shared" si="7"/>
        <v>-2.3284163591009769E-2</v>
      </c>
      <c r="I20" s="66">
        <f t="shared" si="7"/>
        <v>0.10153989071383736</v>
      </c>
      <c r="J20" s="66">
        <f t="shared" si="7"/>
        <v>6.5703173428337799E-2</v>
      </c>
      <c r="K20" s="66">
        <f t="shared" si="7"/>
        <v>3.0311099694410901E-2</v>
      </c>
      <c r="L20" s="66">
        <f t="shared" si="7"/>
        <v>-8.0960323521019825E-3</v>
      </c>
      <c r="M20" s="66">
        <f t="shared" si="7"/>
        <v>0.17701356204930652</v>
      </c>
      <c r="N20" s="66">
        <f t="shared" ref="N20:O20" si="8">+N19/N17</f>
        <v>-0.21028565548965417</v>
      </c>
      <c r="O20" s="66">
        <f t="shared" si="8"/>
        <v>0.12613647768464656</v>
      </c>
      <c r="P20" s="66">
        <f t="shared" ref="P20" si="9">+P19/P17</f>
        <v>-6.3126465596254941E-2</v>
      </c>
      <c r="Q20" s="66"/>
      <c r="X20" s="36" t="s">
        <v>70</v>
      </c>
      <c r="Y20" s="58">
        <v>1711871.0999999999</v>
      </c>
    </row>
    <row r="21" spans="1:26" s="36" customFormat="1" ht="18.75" customHeight="1" x14ac:dyDescent="0.25">
      <c r="A21" s="22"/>
      <c r="B21" s="67" t="s">
        <v>165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X21" s="36" t="s">
        <v>69</v>
      </c>
      <c r="Y21" s="58">
        <v>-85190.720000000001</v>
      </c>
    </row>
    <row r="22" spans="1:26" ht="18.75" x14ac:dyDescent="0.3">
      <c r="A22" s="68"/>
      <c r="B22" s="69"/>
      <c r="X22" s="22" t="s">
        <v>67</v>
      </c>
      <c r="Y22" s="56"/>
    </row>
    <row r="23" spans="1:26" ht="24" thickBot="1" x14ac:dyDescent="0.4">
      <c r="A23" s="68"/>
      <c r="B23" s="42" t="s">
        <v>166</v>
      </c>
      <c r="E23" s="70">
        <v>69</v>
      </c>
      <c r="F23" s="70">
        <v>77</v>
      </c>
      <c r="G23" s="70">
        <v>89</v>
      </c>
      <c r="H23" s="70">
        <v>103</v>
      </c>
      <c r="I23" s="70">
        <v>119</v>
      </c>
      <c r="J23" s="70">
        <v>122</v>
      </c>
      <c r="K23" s="70">
        <v>122</v>
      </c>
      <c r="L23" s="70">
        <v>121</v>
      </c>
      <c r="M23" s="70">
        <f>+L23</f>
        <v>121</v>
      </c>
      <c r="N23" s="70">
        <f>30+74+11+24</f>
        <v>139</v>
      </c>
      <c r="O23" s="70">
        <v>151</v>
      </c>
      <c r="P23" s="70">
        <f>5+32+82+33</f>
        <v>152</v>
      </c>
      <c r="Q23" s="70"/>
      <c r="X23" s="22" t="s">
        <v>66</v>
      </c>
      <c r="Y23" s="56"/>
    </row>
    <row r="24" spans="1:26" ht="15.75" thickTop="1" x14ac:dyDescent="0.25">
      <c r="X24" s="22" t="s">
        <v>65</v>
      </c>
    </row>
    <row r="25" spans="1:26" x14ac:dyDescent="0.25">
      <c r="B25" s="36"/>
      <c r="Y25" s="56">
        <v>2320956.13</v>
      </c>
    </row>
    <row r="26" spans="1:26" x14ac:dyDescent="0.25">
      <c r="B26" s="36"/>
      <c r="Y26" s="56"/>
    </row>
    <row r="27" spans="1:26" x14ac:dyDescent="0.25">
      <c r="B27" s="36"/>
      <c r="Y27" s="56"/>
    </row>
    <row r="28" spans="1:26" x14ac:dyDescent="0.25">
      <c r="B28" s="36"/>
      <c r="Y28" s="56"/>
    </row>
    <row r="29" spans="1:26" x14ac:dyDescent="0.25">
      <c r="B29" s="36"/>
      <c r="Y29" s="56"/>
    </row>
    <row r="30" spans="1:26" x14ac:dyDescent="0.25">
      <c r="B30" s="36"/>
      <c r="Y30" s="56"/>
    </row>
    <row r="31" spans="1:26" x14ac:dyDescent="0.25">
      <c r="B31" s="36"/>
      <c r="Y31" s="56"/>
    </row>
    <row r="32" spans="1:26" x14ac:dyDescent="0.25">
      <c r="B32" s="36"/>
      <c r="Y32" s="56"/>
    </row>
    <row r="33" spans="2:25" x14ac:dyDescent="0.25">
      <c r="B33" s="36"/>
      <c r="Y33" s="56"/>
    </row>
    <row r="34" spans="2:25" x14ac:dyDescent="0.25">
      <c r="B34" s="36"/>
      <c r="Y34" s="56"/>
    </row>
    <row r="35" spans="2:25" x14ac:dyDescent="0.25">
      <c r="B35" s="36"/>
      <c r="Y35" s="56"/>
    </row>
    <row r="36" spans="2:25" x14ac:dyDescent="0.25">
      <c r="B36" s="36"/>
      <c r="Y36" s="56"/>
    </row>
    <row r="37" spans="2:25" x14ac:dyDescent="0.25">
      <c r="B37" s="36"/>
      <c r="Y37" s="56"/>
    </row>
    <row r="38" spans="2:25" x14ac:dyDescent="0.25">
      <c r="B38" s="36"/>
      <c r="Y38" s="56"/>
    </row>
    <row r="39" spans="2:25" x14ac:dyDescent="0.25">
      <c r="B39" s="36"/>
      <c r="Y39" s="56"/>
    </row>
    <row r="40" spans="2:25" x14ac:dyDescent="0.25">
      <c r="B40" s="36"/>
      <c r="Y40" s="56"/>
    </row>
    <row r="41" spans="2:25" x14ac:dyDescent="0.25">
      <c r="Y41" s="56"/>
    </row>
    <row r="43" spans="2:25" x14ac:dyDescent="0.25">
      <c r="B43" s="74" t="s">
        <v>167</v>
      </c>
      <c r="C43" s="71" t="s">
        <v>168</v>
      </c>
      <c r="D43"/>
      <c r="E43"/>
      <c r="F43"/>
      <c r="G43"/>
      <c r="H43"/>
      <c r="I43"/>
      <c r="J43"/>
    </row>
    <row r="44" spans="2:25" x14ac:dyDescent="0.25">
      <c r="B44"/>
      <c r="C44"/>
      <c r="D44"/>
      <c r="E44"/>
      <c r="F44"/>
      <c r="G44"/>
      <c r="H44"/>
      <c r="I44"/>
      <c r="J44"/>
    </row>
    <row r="45" spans="2:25" x14ac:dyDescent="0.25">
      <c r="B45" s="71"/>
      <c r="C45" s="74" t="s">
        <v>169</v>
      </c>
      <c r="D45" s="71"/>
      <c r="E45" s="71"/>
      <c r="F45" s="71"/>
      <c r="G45" s="71"/>
      <c r="H45" s="71"/>
      <c r="I45" s="71"/>
      <c r="J45" s="71"/>
    </row>
    <row r="46" spans="2:25" x14ac:dyDescent="0.25">
      <c r="B46" s="74" t="s">
        <v>170</v>
      </c>
      <c r="C46" s="71">
        <v>13</v>
      </c>
      <c r="D46" s="71">
        <v>14</v>
      </c>
      <c r="E46" s="71">
        <v>15</v>
      </c>
      <c r="F46" s="71">
        <v>16</v>
      </c>
      <c r="G46" s="71">
        <v>17</v>
      </c>
      <c r="H46" s="71">
        <v>18</v>
      </c>
      <c r="I46" s="71">
        <v>19</v>
      </c>
      <c r="J46" s="71" t="s">
        <v>171</v>
      </c>
    </row>
    <row r="47" spans="2:25" x14ac:dyDescent="0.25">
      <c r="B47" s="72" t="s">
        <v>172</v>
      </c>
      <c r="C47" s="72">
        <v>6779926.46</v>
      </c>
      <c r="D47" s="72">
        <v>7355995.04</v>
      </c>
      <c r="E47" s="72">
        <v>8897512.5799999945</v>
      </c>
      <c r="F47" s="73">
        <v>8480688.7400000002</v>
      </c>
      <c r="G47" s="72">
        <v>8322685.4800000004</v>
      </c>
      <c r="H47" s="72">
        <v>10524606.049999999</v>
      </c>
      <c r="I47" s="72">
        <v>10895819.149999999</v>
      </c>
      <c r="J47" s="72">
        <v>61257233.499999993</v>
      </c>
    </row>
    <row r="48" spans="2:25" x14ac:dyDescent="0.25">
      <c r="B48" s="72" t="s">
        <v>173</v>
      </c>
      <c r="C48" s="72">
        <v>838213.75999999989</v>
      </c>
      <c r="D48" s="72">
        <v>1131399.8599999999</v>
      </c>
      <c r="E48" s="72">
        <v>656971.10000000009</v>
      </c>
      <c r="F48" s="73">
        <v>1306477.73</v>
      </c>
      <c r="G48" s="72">
        <v>2076691.76</v>
      </c>
      <c r="H48" s="72">
        <v>1059032.2000000002</v>
      </c>
      <c r="I48" s="72">
        <v>1230168.97</v>
      </c>
      <c r="J48" s="72">
        <v>8298955.3799999999</v>
      </c>
    </row>
    <row r="49" spans="2:10" x14ac:dyDescent="0.25">
      <c r="B49" s="72" t="s">
        <v>174</v>
      </c>
      <c r="C49" s="72">
        <v>-948291.34</v>
      </c>
      <c r="D49" s="72">
        <v>-811622.42999999993</v>
      </c>
      <c r="E49" s="72">
        <v>-1099321.92</v>
      </c>
      <c r="F49" s="73">
        <v>-1270694.22</v>
      </c>
      <c r="G49" s="72">
        <v>-943438.6</v>
      </c>
      <c r="H49" s="72">
        <v>-1403708.9900000002</v>
      </c>
      <c r="I49" s="72">
        <v>-1512535.92</v>
      </c>
      <c r="J49" s="72">
        <v>-7989613.4199999999</v>
      </c>
    </row>
    <row r="50" spans="2:10" x14ac:dyDescent="0.25">
      <c r="B50" s="72" t="s">
        <v>175</v>
      </c>
      <c r="C50" s="72">
        <v>755345.82000000007</v>
      </c>
      <c r="D50" s="72">
        <v>1300111.6499999999</v>
      </c>
      <c r="E50" s="72">
        <v>110032.88000000005</v>
      </c>
      <c r="F50" s="73">
        <v>-113259.13000000002</v>
      </c>
      <c r="G50" s="72">
        <v>1158533.4100000001</v>
      </c>
      <c r="H50" s="72">
        <v>822407.97000000032</v>
      </c>
      <c r="I50" s="72">
        <v>439317.13000000006</v>
      </c>
      <c r="J50" s="72">
        <v>4472489.7300000004</v>
      </c>
    </row>
    <row r="51" spans="2:10" x14ac:dyDescent="0.25">
      <c r="B51" s="72" t="s">
        <v>176</v>
      </c>
      <c r="C51" s="72">
        <v>-69199.670000000013</v>
      </c>
      <c r="D51" s="72">
        <v>-78371.540000000037</v>
      </c>
      <c r="E51" s="72">
        <v>-84505.9</v>
      </c>
      <c r="F51" s="73">
        <v>-80527.640000000014</v>
      </c>
      <c r="G51" s="72">
        <v>-89866.070000000036</v>
      </c>
      <c r="H51" s="72">
        <v>-106518.08000000003</v>
      </c>
      <c r="I51" s="72">
        <v>-107555.67</v>
      </c>
      <c r="J51" s="72">
        <v>-616544.57000000007</v>
      </c>
    </row>
    <row r="52" spans="2:10" x14ac:dyDescent="0.25">
      <c r="B52" s="72" t="s">
        <v>177</v>
      </c>
      <c r="C52" s="72">
        <v>7355995.04</v>
      </c>
      <c r="D52" s="72">
        <v>8897512.5799999945</v>
      </c>
      <c r="E52" s="72">
        <v>8480688.7400000002</v>
      </c>
      <c r="F52" s="73">
        <v>8322685.4800000004</v>
      </c>
      <c r="G52" s="72">
        <v>10524606.049999999</v>
      </c>
      <c r="H52" s="72">
        <v>10895819.15</v>
      </c>
      <c r="I52" s="72">
        <v>10945213.660000002</v>
      </c>
      <c r="J52" s="72">
        <v>65422520.699999996</v>
      </c>
    </row>
    <row r="53" spans="2:10" x14ac:dyDescent="0.25">
      <c r="B53"/>
      <c r="C53"/>
      <c r="D53"/>
      <c r="E53"/>
      <c r="F53" s="72"/>
      <c r="G53"/>
      <c r="H53"/>
      <c r="I53"/>
      <c r="J53"/>
    </row>
    <row r="54" spans="2:10" x14ac:dyDescent="0.25">
      <c r="I54" s="22" t="e">
        <f>+GETPIVOTDATA("Sum of Beginning Balance",'[2]SOA Jul19_Apr20'!$D$134)</f>
        <v>#REF!</v>
      </c>
    </row>
    <row r="55" spans="2:10" x14ac:dyDescent="0.25">
      <c r="I55" s="22" t="e">
        <f>+I54-GETPIVOTDATA("Sum of Ending Balance",$B$45,"FY",19)</f>
        <v>#REF!</v>
      </c>
    </row>
  </sheetData>
  <mergeCells count="5">
    <mergeCell ref="A1:Q1"/>
    <mergeCell ref="A2:Q2"/>
    <mergeCell ref="A3:Q3"/>
    <mergeCell ref="A4:Q4"/>
    <mergeCell ref="A5:Q5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00DB-9F2F-40F9-942B-7C1221A2B2AF}">
  <dimension ref="B1:AB40"/>
  <sheetViews>
    <sheetView topLeftCell="A5" zoomScale="120" zoomScaleNormal="120" workbookViewId="0">
      <pane xSplit="3" ySplit="6" topLeftCell="D11" activePane="bottomRight" state="frozen"/>
      <selection activeCell="A5" sqref="A5"/>
      <selection pane="topRight" activeCell="D5" sqref="D5"/>
      <selection pane="bottomLeft" activeCell="A11" sqref="A11"/>
      <selection pane="bottomRight" activeCell="H26" sqref="H26"/>
    </sheetView>
  </sheetViews>
  <sheetFormatPr defaultColWidth="9.140625" defaultRowHeight="15" x14ac:dyDescent="0.25"/>
  <cols>
    <col min="1" max="1" width="5.42578125" style="6" customWidth="1"/>
    <col min="2" max="2" width="33.85546875" style="6" customWidth="1"/>
    <col min="3" max="3" width="14.5703125" style="6" customWidth="1"/>
    <col min="4" max="4" width="14.7109375" style="6" bestFit="1" customWidth="1"/>
    <col min="5" max="5" width="5.140625" style="6" customWidth="1"/>
    <col min="6" max="6" width="14.28515625" style="6" bestFit="1" customWidth="1"/>
    <col min="7" max="7" width="10.28515625" style="6" customWidth="1"/>
    <col min="8" max="8" width="14.28515625" style="6" bestFit="1" customWidth="1"/>
    <col min="9" max="11" width="10.28515625" style="6" customWidth="1"/>
    <col min="12" max="12" width="13.5703125" style="6" bestFit="1" customWidth="1"/>
    <col min="13" max="13" width="13.28515625" style="6" bestFit="1" customWidth="1"/>
    <col min="14" max="18" width="10.28515625" style="6" customWidth="1"/>
    <col min="19" max="19" width="14.28515625" style="6" bestFit="1" customWidth="1"/>
    <col min="20" max="20" width="12.5703125" style="6" customWidth="1"/>
    <col min="21" max="21" width="11.28515625" style="6" bestFit="1" customWidth="1"/>
    <col min="22" max="23" width="9.140625" style="6"/>
    <col min="24" max="24" width="16.5703125" style="6" customWidth="1"/>
    <col min="25" max="25" width="15.7109375" style="6" customWidth="1"/>
    <col min="26" max="26" width="16.85546875" style="6" customWidth="1"/>
    <col min="27" max="16384" width="9.140625" style="6"/>
  </cols>
  <sheetData>
    <row r="1" spans="2:28" ht="18" customHeight="1" x14ac:dyDescent="0.25">
      <c r="B1" s="103" t="s">
        <v>133</v>
      </c>
      <c r="C1" s="103"/>
      <c r="D1" s="103"/>
      <c r="E1" s="103"/>
      <c r="F1" s="103"/>
    </row>
    <row r="2" spans="2:28" ht="21" x14ac:dyDescent="0.25">
      <c r="B2" s="103" t="s">
        <v>134</v>
      </c>
      <c r="C2" s="103"/>
      <c r="D2" s="103"/>
      <c r="E2" s="103"/>
      <c r="F2" s="103"/>
    </row>
    <row r="3" spans="2:28" ht="21" customHeight="1" x14ac:dyDescent="0.25">
      <c r="B3" s="103" t="s">
        <v>226</v>
      </c>
      <c r="C3" s="103"/>
      <c r="D3" s="103"/>
      <c r="E3" s="103"/>
      <c r="F3" s="103"/>
    </row>
    <row r="4" spans="2:28" ht="18" customHeight="1" x14ac:dyDescent="0.25">
      <c r="B4" s="103" t="s">
        <v>135</v>
      </c>
      <c r="C4" s="103"/>
      <c r="D4" s="103"/>
      <c r="E4" s="103"/>
      <c r="F4" s="103"/>
    </row>
    <row r="6" spans="2:28" ht="12.95" customHeight="1" x14ac:dyDescent="0.25">
      <c r="D6" s="7"/>
      <c r="E6" s="8"/>
      <c r="F6" s="9"/>
      <c r="L6" s="6" t="s">
        <v>184</v>
      </c>
    </row>
    <row r="7" spans="2:28" ht="12.95" customHeight="1" x14ac:dyDescent="0.25">
      <c r="D7" s="7"/>
      <c r="E7" s="8"/>
      <c r="F7" s="10"/>
    </row>
    <row r="8" spans="2:28" ht="12.95" hidden="1" customHeight="1" x14ac:dyDescent="0.25">
      <c r="D8" s="7"/>
      <c r="E8" s="8"/>
      <c r="F8" s="9"/>
      <c r="V8"/>
      <c r="W8"/>
      <c r="X8"/>
      <c r="Y8"/>
      <c r="Z8"/>
      <c r="AA8"/>
    </row>
    <row r="9" spans="2:28" ht="12.95" customHeight="1" x14ac:dyDescent="0.25">
      <c r="C9" s="11"/>
      <c r="D9" s="12"/>
      <c r="E9" s="13"/>
      <c r="F9" s="14" t="s">
        <v>248</v>
      </c>
      <c r="L9" s="6" t="s">
        <v>183</v>
      </c>
      <c r="M9" s="6" t="s">
        <v>181</v>
      </c>
      <c r="V9"/>
      <c r="W9"/>
      <c r="X9"/>
      <c r="Y9"/>
      <c r="Z9"/>
      <c r="AA9"/>
    </row>
    <row r="10" spans="2:28" ht="12.95" customHeight="1" x14ac:dyDescent="0.25">
      <c r="B10" s="15" t="s">
        <v>136</v>
      </c>
      <c r="C10" s="11"/>
      <c r="D10" s="12"/>
      <c r="E10" s="13"/>
      <c r="F10" s="16"/>
      <c r="V10"/>
      <c r="W10"/>
      <c r="X10"/>
      <c r="Y10"/>
      <c r="Z10"/>
      <c r="AA10"/>
      <c r="AB10" s="17"/>
    </row>
    <row r="11" spans="2:28" ht="12.95" customHeight="1" x14ac:dyDescent="0.25">
      <c r="B11" s="18" t="s">
        <v>137</v>
      </c>
      <c r="D11" s="19"/>
      <c r="E11" s="13"/>
      <c r="F11" s="20">
        <v>4365141.9799999995</v>
      </c>
      <c r="L11" s="21">
        <v>3201659</v>
      </c>
      <c r="M11" s="21">
        <f>+F11-L11</f>
        <v>1163482.9799999995</v>
      </c>
      <c r="S11" s="21"/>
      <c r="V11"/>
      <c r="W11"/>
      <c r="X11"/>
      <c r="Y11"/>
      <c r="Z11"/>
      <c r="AA11"/>
      <c r="AB11" s="22"/>
    </row>
    <row r="12" spans="2:28" ht="12.95" hidden="1" customHeight="1" x14ac:dyDescent="0.25">
      <c r="D12" s="23"/>
      <c r="F12" s="16"/>
      <c r="L12" s="21"/>
      <c r="S12" s="21"/>
      <c r="V12"/>
      <c r="W12"/>
      <c r="X12"/>
      <c r="Y12"/>
      <c r="Z12"/>
      <c r="AA12"/>
      <c r="AB12" s="22"/>
    </row>
    <row r="13" spans="2:28" ht="12.95" customHeight="1" x14ac:dyDescent="0.25">
      <c r="D13" s="23"/>
      <c r="F13" s="16"/>
      <c r="L13" s="21"/>
      <c r="S13" s="21"/>
      <c r="V13"/>
      <c r="W13"/>
      <c r="X13"/>
      <c r="Y13"/>
      <c r="Z13"/>
      <c r="AA13"/>
      <c r="AB13" s="22"/>
    </row>
    <row r="14" spans="2:28" ht="12.95" customHeight="1" x14ac:dyDescent="0.25">
      <c r="B14" s="15" t="s">
        <v>216</v>
      </c>
      <c r="D14" s="23"/>
      <c r="F14" s="24"/>
      <c r="L14" s="21"/>
      <c r="S14" s="21"/>
      <c r="V14"/>
      <c r="W14"/>
      <c r="X14"/>
      <c r="Y14"/>
      <c r="Z14"/>
      <c r="AA14"/>
    </row>
    <row r="15" spans="2:28" ht="12.95" hidden="1" customHeight="1" x14ac:dyDescent="0.25">
      <c r="D15" s="23"/>
      <c r="F15" s="16"/>
      <c r="L15" s="21"/>
      <c r="S15" s="21"/>
      <c r="V15"/>
      <c r="W15"/>
      <c r="X15"/>
      <c r="Y15"/>
      <c r="Z15"/>
      <c r="AA15"/>
    </row>
    <row r="16" spans="2:28" ht="12.95" customHeight="1" x14ac:dyDescent="0.25">
      <c r="B16" s="18" t="s">
        <v>138</v>
      </c>
      <c r="C16" s="18"/>
      <c r="D16" s="23"/>
      <c r="F16" s="16">
        <v>4920003.1599999992</v>
      </c>
      <c r="G16" s="25"/>
      <c r="H16" s="25"/>
      <c r="I16" s="25"/>
      <c r="J16" s="25"/>
      <c r="K16" s="25"/>
      <c r="L16" s="25">
        <v>7176043</v>
      </c>
      <c r="M16" s="21">
        <f>+F16-L16</f>
        <v>-2256039.8400000008</v>
      </c>
      <c r="N16" s="25"/>
      <c r="O16" s="25"/>
      <c r="P16" s="25"/>
      <c r="Q16" s="25"/>
      <c r="R16" s="25"/>
      <c r="S16" s="21"/>
      <c r="T16" s="26"/>
      <c r="V16"/>
      <c r="W16"/>
      <c r="X16"/>
      <c r="Y16"/>
      <c r="Z16"/>
      <c r="AA16"/>
    </row>
    <row r="17" spans="2:27" ht="12.95" hidden="1" customHeight="1" x14ac:dyDescent="0.25">
      <c r="D17" s="23"/>
      <c r="F17" s="16"/>
      <c r="L17" s="21"/>
      <c r="V17"/>
      <c r="W17"/>
      <c r="X17"/>
      <c r="Y17"/>
      <c r="Z17"/>
      <c r="AA17"/>
    </row>
    <row r="18" spans="2:27" ht="12.95" customHeight="1" x14ac:dyDescent="0.25">
      <c r="D18" s="21"/>
      <c r="F18" s="16"/>
      <c r="L18" s="21"/>
    </row>
    <row r="19" spans="2:27" ht="12.95" hidden="1" customHeight="1" x14ac:dyDescent="0.25">
      <c r="F19" s="16"/>
      <c r="L19" s="21"/>
    </row>
    <row r="20" spans="2:27" ht="12.95" customHeight="1" x14ac:dyDescent="0.25">
      <c r="B20" s="15" t="s">
        <v>179</v>
      </c>
      <c r="F20" s="27">
        <v>4465410.330000001</v>
      </c>
      <c r="L20" s="21">
        <v>4752663</v>
      </c>
      <c r="M20" s="21">
        <f>+F20-L20</f>
        <v>-287252.66999999899</v>
      </c>
    </row>
    <row r="21" spans="2:27" ht="12.95" hidden="1" customHeight="1" x14ac:dyDescent="0.25">
      <c r="F21" s="28"/>
      <c r="L21" s="21"/>
    </row>
    <row r="22" spans="2:27" ht="12.95" customHeight="1" x14ac:dyDescent="0.25">
      <c r="F22" s="28"/>
      <c r="L22" s="21"/>
    </row>
    <row r="23" spans="2:27" ht="12.95" customHeight="1" x14ac:dyDescent="0.25">
      <c r="B23" s="15" t="s">
        <v>139</v>
      </c>
      <c r="F23" s="29">
        <v>304075.01</v>
      </c>
      <c r="H23" s="79" t="s">
        <v>249</v>
      </c>
      <c r="L23" s="82">
        <v>496286</v>
      </c>
      <c r="M23" s="82">
        <f>+F23-L23</f>
        <v>-192210.99</v>
      </c>
    </row>
    <row r="24" spans="2:27" ht="12.95" customHeight="1" x14ac:dyDescent="0.25">
      <c r="B24" s="15"/>
      <c r="H24" s="94"/>
      <c r="T24" s="30"/>
    </row>
    <row r="25" spans="2:27" ht="15.75" thickBot="1" x14ac:dyDescent="0.3">
      <c r="B25" s="15" t="s">
        <v>140</v>
      </c>
      <c r="F25" s="31">
        <f>SUM(F11:F24)</f>
        <v>14054630.479999999</v>
      </c>
      <c r="H25" s="33">
        <v>15386299.92</v>
      </c>
      <c r="L25" s="31">
        <f>SUM(L11:L24)</f>
        <v>15626651</v>
      </c>
      <c r="M25" s="31">
        <f>SUM(M11:M24)</f>
        <v>-1572020.5200000003</v>
      </c>
    </row>
    <row r="26" spans="2:27" ht="15.75" thickTop="1" x14ac:dyDescent="0.25">
      <c r="B26" s="15"/>
      <c r="F26" s="32"/>
      <c r="H26" s="34">
        <f>+H25-F25</f>
        <v>1331669.4400000013</v>
      </c>
    </row>
    <row r="27" spans="2:27" x14ac:dyDescent="0.25">
      <c r="B27" s="15"/>
      <c r="F27" s="32"/>
      <c r="H27" s="89"/>
    </row>
    <row r="28" spans="2:27" x14ac:dyDescent="0.25">
      <c r="B28" s="15"/>
      <c r="F28" s="32"/>
    </row>
    <row r="29" spans="2:27" x14ac:dyDescent="0.25">
      <c r="B29" s="15"/>
      <c r="F29" s="21"/>
    </row>
    <row r="30" spans="2:27" x14ac:dyDescent="0.25">
      <c r="F30" s="30"/>
    </row>
    <row r="32" spans="2:27" x14ac:dyDescent="0.25">
      <c r="F32" s="33"/>
      <c r="S32" s="34"/>
    </row>
    <row r="33" spans="4:28" x14ac:dyDescent="0.25">
      <c r="D33" s="79"/>
      <c r="F33" s="35"/>
    </row>
    <row r="34" spans="4:28" x14ac:dyDescent="0.25">
      <c r="F34" s="35"/>
      <c r="AB34" s="6" t="s">
        <v>141</v>
      </c>
    </row>
    <row r="35" spans="4:28" x14ac:dyDescent="0.25">
      <c r="F35" s="35"/>
      <c r="AB35" s="6" t="s">
        <v>142</v>
      </c>
    </row>
    <row r="36" spans="4:28" x14ac:dyDescent="0.25">
      <c r="F36" s="35"/>
      <c r="AB36" s="6" t="s">
        <v>143</v>
      </c>
    </row>
    <row r="37" spans="4:28" x14ac:dyDescent="0.25">
      <c r="F37" s="35"/>
      <c r="AB37" s="6" t="s">
        <v>144</v>
      </c>
    </row>
    <row r="38" spans="4:28" x14ac:dyDescent="0.25">
      <c r="F38" s="25"/>
    </row>
    <row r="39" spans="4:28" x14ac:dyDescent="0.25">
      <c r="F39" s="25"/>
    </row>
    <row r="40" spans="4:28" x14ac:dyDescent="0.25">
      <c r="F40" s="25"/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9"/>
  <sheetViews>
    <sheetView topLeftCell="A45" workbookViewId="0">
      <selection activeCell="A62" sqref="A62"/>
    </sheetView>
  </sheetViews>
  <sheetFormatPr defaultRowHeight="15" x14ac:dyDescent="0.25"/>
  <cols>
    <col min="1" max="1" width="43.85546875" customWidth="1"/>
    <col min="2" max="2" width="24.85546875" customWidth="1"/>
    <col min="3" max="3" width="19" customWidth="1"/>
  </cols>
  <sheetData>
    <row r="1" spans="1:3" ht="18" x14ac:dyDescent="0.25">
      <c r="A1" s="106" t="s">
        <v>59</v>
      </c>
      <c r="B1" s="105"/>
    </row>
    <row r="2" spans="1:3" ht="18" x14ac:dyDescent="0.25">
      <c r="A2" s="106" t="s">
        <v>60</v>
      </c>
      <c r="B2" s="105"/>
    </row>
    <row r="3" spans="1:3" x14ac:dyDescent="0.25">
      <c r="A3" s="107" t="s">
        <v>247</v>
      </c>
      <c r="B3" s="105"/>
      <c r="C3" s="105"/>
    </row>
    <row r="5" spans="1:3" x14ac:dyDescent="0.25">
      <c r="A5" s="1"/>
      <c r="B5" s="108" t="s">
        <v>0</v>
      </c>
      <c r="C5" s="109"/>
    </row>
    <row r="6" spans="1:3" ht="36.75" customHeight="1" x14ac:dyDescent="0.25">
      <c r="A6" s="1"/>
      <c r="B6" s="95" t="s">
        <v>244</v>
      </c>
      <c r="C6" s="95" t="s">
        <v>245</v>
      </c>
    </row>
    <row r="7" spans="1:3" x14ac:dyDescent="0.25">
      <c r="A7" s="96" t="s">
        <v>1</v>
      </c>
      <c r="B7" s="97"/>
      <c r="C7" s="97"/>
    </row>
    <row r="8" spans="1:3" x14ac:dyDescent="0.25">
      <c r="A8" s="96" t="s">
        <v>2</v>
      </c>
      <c r="B8" s="97"/>
      <c r="C8" s="97"/>
    </row>
    <row r="9" spans="1:3" x14ac:dyDescent="0.25">
      <c r="A9" s="96" t="s">
        <v>3</v>
      </c>
      <c r="B9" s="97"/>
      <c r="C9" s="97"/>
    </row>
    <row r="10" spans="1:3" x14ac:dyDescent="0.25">
      <c r="A10" s="96" t="s">
        <v>4</v>
      </c>
      <c r="B10" s="98">
        <f>0</f>
        <v>0</v>
      </c>
      <c r="C10" s="98">
        <f>0</f>
        <v>0</v>
      </c>
    </row>
    <row r="11" spans="1:3" x14ac:dyDescent="0.25">
      <c r="A11" s="96" t="s">
        <v>5</v>
      </c>
      <c r="B11" s="98">
        <f>270.6</f>
        <v>270.60000000000002</v>
      </c>
      <c r="C11" s="98">
        <f>5041.89</f>
        <v>5041.8900000000003</v>
      </c>
    </row>
    <row r="12" spans="1:3" x14ac:dyDescent="0.25">
      <c r="A12" s="96" t="s">
        <v>6</v>
      </c>
      <c r="B12" s="98">
        <f>6859.39</f>
        <v>6859.39</v>
      </c>
      <c r="C12" s="98">
        <f>17173.96</f>
        <v>17173.96</v>
      </c>
    </row>
    <row r="13" spans="1:3" x14ac:dyDescent="0.25">
      <c r="A13" s="96" t="s">
        <v>7</v>
      </c>
      <c r="B13" s="98">
        <f>37969.4</f>
        <v>37969.4</v>
      </c>
      <c r="C13" s="98">
        <f>18189.96</f>
        <v>18189.96</v>
      </c>
    </row>
    <row r="14" spans="1:3" x14ac:dyDescent="0.25">
      <c r="A14" s="96" t="s">
        <v>8</v>
      </c>
      <c r="B14" s="98">
        <f>331.02</f>
        <v>331.02</v>
      </c>
      <c r="C14" s="98">
        <f>313.19</f>
        <v>313.19</v>
      </c>
    </row>
    <row r="15" spans="1:3" x14ac:dyDescent="0.25">
      <c r="A15" s="96" t="s">
        <v>215</v>
      </c>
      <c r="B15" s="98">
        <f>102.28</f>
        <v>102.28</v>
      </c>
      <c r="C15" s="97"/>
    </row>
    <row r="16" spans="1:3" x14ac:dyDescent="0.25">
      <c r="A16" s="96" t="s">
        <v>9</v>
      </c>
      <c r="B16" s="99">
        <f>(((((B10)+(B11))+(B12))+(B13))+(B14))+(B15)</f>
        <v>45532.689999999995</v>
      </c>
      <c r="C16" s="99">
        <f>(((((C10)+(C11))+(C12))+(C13))+(C14))+(C15)</f>
        <v>40719</v>
      </c>
    </row>
    <row r="17" spans="1:3" x14ac:dyDescent="0.25">
      <c r="A17" s="96" t="s">
        <v>10</v>
      </c>
      <c r="B17" s="97"/>
      <c r="C17" s="97"/>
    </row>
    <row r="18" spans="1:3" x14ac:dyDescent="0.25">
      <c r="A18" s="96" t="s">
        <v>11</v>
      </c>
      <c r="B18" s="98">
        <f>16666.68</f>
        <v>16666.68</v>
      </c>
      <c r="C18" s="98">
        <f>13333.36</f>
        <v>13333.36</v>
      </c>
    </row>
    <row r="19" spans="1:3" x14ac:dyDescent="0.25">
      <c r="A19" s="96" t="s">
        <v>12</v>
      </c>
      <c r="B19" s="99">
        <f>B18</f>
        <v>16666.68</v>
      </c>
      <c r="C19" s="99">
        <f>C18</f>
        <v>13333.36</v>
      </c>
    </row>
    <row r="20" spans="1:3" x14ac:dyDescent="0.25">
      <c r="A20" s="96" t="s">
        <v>13</v>
      </c>
      <c r="B20" s="97"/>
      <c r="C20" s="97"/>
    </row>
    <row r="21" spans="1:3" x14ac:dyDescent="0.25">
      <c r="A21" s="96" t="s">
        <v>14</v>
      </c>
      <c r="B21" s="98">
        <f>0</f>
        <v>0</v>
      </c>
      <c r="C21" s="98">
        <f>0</f>
        <v>0</v>
      </c>
    </row>
    <row r="22" spans="1:3" x14ac:dyDescent="0.25">
      <c r="A22" s="96" t="s">
        <v>15</v>
      </c>
      <c r="B22" s="99">
        <f>B21</f>
        <v>0</v>
      </c>
      <c r="C22" s="99">
        <f>C21</f>
        <v>0</v>
      </c>
    </row>
    <row r="23" spans="1:3" x14ac:dyDescent="0.25">
      <c r="A23" s="96" t="s">
        <v>16</v>
      </c>
      <c r="B23" s="99">
        <f>((B16)+(B19))+(B22)</f>
        <v>62199.369999999995</v>
      </c>
      <c r="C23" s="99">
        <f>((C16)+(C19))+(C22)</f>
        <v>54052.36</v>
      </c>
    </row>
    <row r="24" spans="1:3" x14ac:dyDescent="0.25">
      <c r="A24" s="96" t="s">
        <v>17</v>
      </c>
      <c r="B24" s="97"/>
      <c r="C24" s="97"/>
    </row>
    <row r="25" spans="1:3" x14ac:dyDescent="0.25">
      <c r="A25" s="96" t="s">
        <v>18</v>
      </c>
      <c r="B25" s="98">
        <f>12328.97</f>
        <v>12328.97</v>
      </c>
      <c r="C25" s="98">
        <f>2328.97</f>
        <v>2328.9699999999998</v>
      </c>
    </row>
    <row r="26" spans="1:3" x14ac:dyDescent="0.25">
      <c r="A26" s="96" t="s">
        <v>19</v>
      </c>
      <c r="B26" s="98">
        <f>-2328.97</f>
        <v>-2328.9699999999998</v>
      </c>
      <c r="C26" s="98">
        <f>-1875.89</f>
        <v>-1875.89</v>
      </c>
    </row>
    <row r="27" spans="1:3" x14ac:dyDescent="0.25">
      <c r="A27" s="96" t="s">
        <v>20</v>
      </c>
      <c r="B27" s="99">
        <f>(B25)+(B26)</f>
        <v>10000</v>
      </c>
      <c r="C27" s="99">
        <f>(C25)+(C26)</f>
        <v>453.0799999999997</v>
      </c>
    </row>
    <row r="28" spans="1:3" x14ac:dyDescent="0.25">
      <c r="A28" s="96" t="s">
        <v>21</v>
      </c>
      <c r="B28" s="99">
        <f>B27</f>
        <v>10000</v>
      </c>
      <c r="C28" s="99">
        <f>C27</f>
        <v>453.0799999999997</v>
      </c>
    </row>
    <row r="29" spans="1:3" x14ac:dyDescent="0.25">
      <c r="A29" s="96" t="s">
        <v>22</v>
      </c>
      <c r="B29" s="97"/>
      <c r="C29" s="97"/>
    </row>
    <row r="30" spans="1:3" x14ac:dyDescent="0.25">
      <c r="A30" s="96" t="s">
        <v>23</v>
      </c>
      <c r="B30" s="98">
        <f>0</f>
        <v>0</v>
      </c>
      <c r="C30" s="98">
        <f>0</f>
        <v>0</v>
      </c>
    </row>
    <row r="31" spans="1:3" x14ac:dyDescent="0.25">
      <c r="A31" s="96" t="s">
        <v>24</v>
      </c>
      <c r="B31" s="98">
        <f>9764145.62</f>
        <v>9764145.6199999992</v>
      </c>
      <c r="C31" s="98">
        <f>8931200.42</f>
        <v>8931200.4199999999</v>
      </c>
    </row>
    <row r="32" spans="1:3" x14ac:dyDescent="0.25">
      <c r="A32" s="96" t="s">
        <v>25</v>
      </c>
      <c r="B32" s="98">
        <f>4306659</f>
        <v>4306659</v>
      </c>
      <c r="C32" s="98">
        <f>3738790</f>
        <v>3738790</v>
      </c>
    </row>
    <row r="33" spans="1:3" x14ac:dyDescent="0.25">
      <c r="A33" s="96" t="s">
        <v>26</v>
      </c>
      <c r="B33" s="98">
        <f>6767.37</f>
        <v>6767.37</v>
      </c>
      <c r="C33" s="98">
        <f>6767.37</f>
        <v>6767.37</v>
      </c>
    </row>
    <row r="34" spans="1:3" x14ac:dyDescent="0.25">
      <c r="A34" s="96" t="s">
        <v>27</v>
      </c>
      <c r="B34" s="99">
        <f>(((B30)+(B31))+(B32))+(B33)</f>
        <v>14077571.989999998</v>
      </c>
      <c r="C34" s="99">
        <f>(((C30)+(C31))+(C32))+(C33)</f>
        <v>12676757.789999999</v>
      </c>
    </row>
    <row r="35" spans="1:3" x14ac:dyDescent="0.25">
      <c r="A35" s="96" t="s">
        <v>28</v>
      </c>
      <c r="B35" s="98">
        <f>-2329</f>
        <v>-2329</v>
      </c>
      <c r="C35" s="98">
        <f>-2329</f>
        <v>-2329</v>
      </c>
    </row>
    <row r="36" spans="1:3" x14ac:dyDescent="0.25">
      <c r="A36" s="96" t="s">
        <v>29</v>
      </c>
      <c r="B36" s="98">
        <f>1876</f>
        <v>1876</v>
      </c>
      <c r="C36" s="98">
        <f>1876</f>
        <v>1876</v>
      </c>
    </row>
    <row r="37" spans="1:3" x14ac:dyDescent="0.25">
      <c r="A37" s="96" t="s">
        <v>30</v>
      </c>
      <c r="B37" s="99">
        <f>(B35)+(B36)</f>
        <v>-453</v>
      </c>
      <c r="C37" s="99">
        <f>(C35)+(C36)</f>
        <v>-453</v>
      </c>
    </row>
    <row r="38" spans="1:3" x14ac:dyDescent="0.25">
      <c r="A38" s="96" t="s">
        <v>31</v>
      </c>
      <c r="B38" s="98">
        <f>70214.89</f>
        <v>70214.89</v>
      </c>
      <c r="C38" s="98">
        <f>70214.89</f>
        <v>70214.89</v>
      </c>
    </row>
    <row r="39" spans="1:3" x14ac:dyDescent="0.25">
      <c r="A39" s="96" t="s">
        <v>32</v>
      </c>
      <c r="B39" s="98">
        <f>4399.69</f>
        <v>4399.6899999999996</v>
      </c>
      <c r="C39" s="98">
        <f>4399.69</f>
        <v>4399.6899999999996</v>
      </c>
    </row>
    <row r="40" spans="1:3" x14ac:dyDescent="0.25">
      <c r="A40" s="96" t="s">
        <v>33</v>
      </c>
      <c r="B40" s="98">
        <f>0</f>
        <v>0</v>
      </c>
      <c r="C40" s="98">
        <f>0</f>
        <v>0</v>
      </c>
    </row>
    <row r="41" spans="1:3" x14ac:dyDescent="0.25">
      <c r="A41" s="96" t="s">
        <v>34</v>
      </c>
      <c r="B41" s="98">
        <f>0</f>
        <v>0</v>
      </c>
      <c r="C41" s="98">
        <f>0</f>
        <v>0</v>
      </c>
    </row>
    <row r="42" spans="1:3" x14ac:dyDescent="0.25">
      <c r="A42" s="96" t="s">
        <v>35</v>
      </c>
      <c r="B42" s="98">
        <f>0</f>
        <v>0</v>
      </c>
      <c r="C42" s="98">
        <f>0</f>
        <v>0</v>
      </c>
    </row>
    <row r="43" spans="1:3" x14ac:dyDescent="0.25">
      <c r="A43" s="96" t="s">
        <v>36</v>
      </c>
      <c r="B43" s="99">
        <f>((((((B34)+(B37))+(B38))+(B39))+(B40))+(B41))+(B42)</f>
        <v>14151733.569999998</v>
      </c>
      <c r="C43" s="99">
        <f>((((((C34)+(C37))+(C38))+(C39))+(C40))+(C41))+(C42)</f>
        <v>12750919.369999999</v>
      </c>
    </row>
    <row r="44" spans="1:3" x14ac:dyDescent="0.25">
      <c r="A44" s="96" t="s">
        <v>37</v>
      </c>
      <c r="B44" s="99">
        <f>((B23)+(B28))+(B43)</f>
        <v>14223932.939999998</v>
      </c>
      <c r="C44" s="99">
        <f>((C23)+(C28))+(C43)</f>
        <v>12805424.809999999</v>
      </c>
    </row>
    <row r="45" spans="1:3" x14ac:dyDescent="0.25">
      <c r="A45" s="96" t="s">
        <v>38</v>
      </c>
      <c r="B45" s="97"/>
      <c r="C45" s="97"/>
    </row>
    <row r="46" spans="1:3" x14ac:dyDescent="0.25">
      <c r="A46" s="96" t="s">
        <v>39</v>
      </c>
      <c r="B46" s="97"/>
      <c r="C46" s="97"/>
    </row>
    <row r="47" spans="1:3" x14ac:dyDescent="0.25">
      <c r="A47" s="96" t="s">
        <v>40</v>
      </c>
      <c r="B47" s="97"/>
      <c r="C47" s="97"/>
    </row>
    <row r="48" spans="1:3" x14ac:dyDescent="0.25">
      <c r="A48" s="96" t="s">
        <v>41</v>
      </c>
      <c r="B48" s="97"/>
      <c r="C48" s="97"/>
    </row>
    <row r="49" spans="1:3" x14ac:dyDescent="0.25">
      <c r="A49" s="96" t="s">
        <v>42</v>
      </c>
      <c r="B49" s="98">
        <f>11523.34</f>
        <v>11523.34</v>
      </c>
      <c r="C49" s="98">
        <f>4312.85</f>
        <v>4312.8500000000004</v>
      </c>
    </row>
    <row r="50" spans="1:3" x14ac:dyDescent="0.25">
      <c r="A50" s="96" t="s">
        <v>43</v>
      </c>
      <c r="B50" s="99">
        <f>B49</f>
        <v>11523.34</v>
      </c>
      <c r="C50" s="99">
        <f>C49</f>
        <v>4312.8500000000004</v>
      </c>
    </row>
    <row r="51" spans="1:3" x14ac:dyDescent="0.25">
      <c r="A51" s="96" t="s">
        <v>44</v>
      </c>
      <c r="B51" s="97"/>
      <c r="C51" s="97"/>
    </row>
    <row r="52" spans="1:3" x14ac:dyDescent="0.25">
      <c r="A52" s="96" t="s">
        <v>45</v>
      </c>
      <c r="B52" s="98">
        <f>0</f>
        <v>0</v>
      </c>
      <c r="C52" s="98">
        <f>0</f>
        <v>0</v>
      </c>
    </row>
    <row r="53" spans="1:3" x14ac:dyDescent="0.25">
      <c r="A53" s="96" t="s">
        <v>46</v>
      </c>
      <c r="B53" s="98">
        <f>8500</f>
        <v>8500</v>
      </c>
      <c r="C53" s="98">
        <f>20529.11</f>
        <v>20529.11</v>
      </c>
    </row>
    <row r="54" spans="1:3" x14ac:dyDescent="0.25">
      <c r="A54" s="96" t="s">
        <v>47</v>
      </c>
      <c r="B54" s="98">
        <f>4311529.74</f>
        <v>4311529.74</v>
      </c>
      <c r="C54" s="98">
        <f>3743660.74</f>
        <v>3743660.74</v>
      </c>
    </row>
    <row r="55" spans="1:3" x14ac:dyDescent="0.25">
      <c r="A55" s="96" t="s">
        <v>48</v>
      </c>
      <c r="B55" s="99">
        <f>((B52)+(B53))+(B54)</f>
        <v>4320029.74</v>
      </c>
      <c r="C55" s="99">
        <f>((C52)+(C53))+(C54)</f>
        <v>3764189.85</v>
      </c>
    </row>
    <row r="56" spans="1:3" x14ac:dyDescent="0.25">
      <c r="A56" s="96" t="s">
        <v>49</v>
      </c>
      <c r="B56" s="99">
        <f>(B50)+(B55)</f>
        <v>4331553.08</v>
      </c>
      <c r="C56" s="99">
        <f>(C50)+(C55)</f>
        <v>3768502.7</v>
      </c>
    </row>
    <row r="57" spans="1:3" x14ac:dyDescent="0.25">
      <c r="A57" s="96" t="s">
        <v>50</v>
      </c>
      <c r="B57" s="99">
        <f>B56</f>
        <v>4331553.08</v>
      </c>
      <c r="C57" s="99">
        <f>C56</f>
        <v>3768502.7</v>
      </c>
    </row>
    <row r="58" spans="1:3" x14ac:dyDescent="0.25">
      <c r="A58" s="96" t="s">
        <v>51</v>
      </c>
      <c r="B58" s="97"/>
      <c r="C58" s="97"/>
    </row>
    <row r="59" spans="1:3" x14ac:dyDescent="0.25">
      <c r="A59" s="96" t="s">
        <v>52</v>
      </c>
      <c r="B59" s="98">
        <f>3800186.96</f>
        <v>3800186.96</v>
      </c>
      <c r="C59" s="98">
        <f>3800186.96</f>
        <v>3800186.96</v>
      </c>
    </row>
    <row r="60" spans="1:3" x14ac:dyDescent="0.25">
      <c r="A60" s="96" t="s">
        <v>53</v>
      </c>
      <c r="B60" s="98">
        <f>4629794.91</f>
        <v>4629794.91</v>
      </c>
      <c r="C60" s="98">
        <f>4629794.91</f>
        <v>4629794.91</v>
      </c>
    </row>
    <row r="61" spans="1:3" x14ac:dyDescent="0.25">
      <c r="A61" s="96" t="s">
        <v>54</v>
      </c>
      <c r="B61" s="98">
        <f>761386.07</f>
        <v>761386.07</v>
      </c>
      <c r="C61" s="98">
        <f>761386.07</f>
        <v>761386.07</v>
      </c>
    </row>
    <row r="62" spans="1:3" x14ac:dyDescent="0.25">
      <c r="A62" s="96" t="s">
        <v>55</v>
      </c>
      <c r="B62" s="98">
        <f>1302529.31</f>
        <v>1302529.31</v>
      </c>
      <c r="C62" s="98">
        <f>400842.21</f>
        <v>400842.21</v>
      </c>
    </row>
    <row r="63" spans="1:3" x14ac:dyDescent="0.25">
      <c r="A63" s="96" t="s">
        <v>56</v>
      </c>
      <c r="B63" s="98">
        <f>-601517.39</f>
        <v>-601517.39</v>
      </c>
      <c r="C63" s="98">
        <f>-555288.04</f>
        <v>-555288.04</v>
      </c>
    </row>
    <row r="64" spans="1:3" x14ac:dyDescent="0.25">
      <c r="A64" s="96" t="s">
        <v>57</v>
      </c>
      <c r="B64" s="99">
        <f>((((B59)+(B60))+(B61))+(B62))+(B63)</f>
        <v>9892379.8600000013</v>
      </c>
      <c r="C64" s="99">
        <f>((((C59)+(C60))+(C61))+(C62))+(C63)</f>
        <v>9036922.1100000031</v>
      </c>
    </row>
    <row r="65" spans="1:3" x14ac:dyDescent="0.25">
      <c r="A65" s="96" t="s">
        <v>58</v>
      </c>
      <c r="B65" s="99">
        <f>(B57)+(B64)</f>
        <v>14223932.940000001</v>
      </c>
      <c r="C65" s="99">
        <f>(C57)+(C64)</f>
        <v>12805424.810000002</v>
      </c>
    </row>
    <row r="66" spans="1:3" x14ac:dyDescent="0.25">
      <c r="A66" s="96"/>
      <c r="B66" s="97"/>
      <c r="C66" s="97"/>
    </row>
    <row r="67" spans="1:3" x14ac:dyDescent="0.25">
      <c r="A67" s="110" t="s">
        <v>61</v>
      </c>
      <c r="B67" s="110"/>
      <c r="C67" s="110"/>
    </row>
    <row r="68" spans="1:3" x14ac:dyDescent="0.25">
      <c r="B68" s="80"/>
      <c r="C68" s="80"/>
    </row>
    <row r="69" spans="1:3" x14ac:dyDescent="0.25">
      <c r="A69" s="104" t="s">
        <v>246</v>
      </c>
      <c r="B69" s="105"/>
      <c r="C69" s="105"/>
    </row>
  </sheetData>
  <mergeCells count="6">
    <mergeCell ref="A69:C69"/>
    <mergeCell ref="A1:B1"/>
    <mergeCell ref="A2:B2"/>
    <mergeCell ref="A3:C3"/>
    <mergeCell ref="B5:C5"/>
    <mergeCell ref="A67:C6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E00FF-E07B-49EB-9A1B-8C9CE940CC1D}">
  <dimension ref="A1:K93"/>
  <sheetViews>
    <sheetView tabSelected="1" topLeftCell="A3" zoomScale="110" zoomScaleNormal="110" workbookViewId="0">
      <pane xSplit="1" ySplit="7" topLeftCell="B10" activePane="bottomRight" state="frozen"/>
      <selection activeCell="A3" sqref="A3"/>
      <selection pane="topRight" activeCell="B3" sqref="B3"/>
      <selection pane="bottomLeft" activeCell="A10" sqref="A10"/>
      <selection pane="bottomRight" activeCell="C7" sqref="C7"/>
    </sheetView>
  </sheetViews>
  <sheetFormatPr defaultRowHeight="15" x14ac:dyDescent="0.25"/>
  <cols>
    <col min="1" max="1" width="40.42578125" customWidth="1"/>
    <col min="2" max="5" width="16.28515625" customWidth="1"/>
    <col min="6" max="6" width="12.28515625" bestFit="1" customWidth="1"/>
    <col min="7" max="7" width="22.5703125" customWidth="1"/>
    <col min="8" max="8" width="13.140625" bestFit="1" customWidth="1"/>
    <col min="9" max="9" width="17.140625" customWidth="1"/>
    <col min="10" max="10" width="12.85546875" customWidth="1"/>
    <col min="11" max="11" width="10.5703125" bestFit="1" customWidth="1"/>
  </cols>
  <sheetData>
    <row r="1" spans="1:8" ht="18" x14ac:dyDescent="0.25">
      <c r="A1" s="106" t="s">
        <v>59</v>
      </c>
      <c r="B1" s="105"/>
      <c r="C1" s="105"/>
      <c r="D1" s="105"/>
      <c r="E1" s="105"/>
    </row>
    <row r="2" spans="1:8" ht="18" x14ac:dyDescent="0.25">
      <c r="A2" s="106" t="s">
        <v>186</v>
      </c>
      <c r="B2" s="105"/>
      <c r="C2" s="105"/>
      <c r="D2" s="105"/>
      <c r="E2" s="105"/>
    </row>
    <row r="3" spans="1:8" x14ac:dyDescent="0.25">
      <c r="A3" s="112" t="s">
        <v>243</v>
      </c>
      <c r="B3" s="105"/>
      <c r="C3" s="105"/>
      <c r="D3" s="105"/>
      <c r="E3" s="105"/>
    </row>
    <row r="5" spans="1:8" ht="21" x14ac:dyDescent="0.35">
      <c r="A5" s="115" t="s">
        <v>222</v>
      </c>
    </row>
    <row r="6" spans="1:8" ht="21" x14ac:dyDescent="0.35">
      <c r="A6" s="115" t="s">
        <v>223</v>
      </c>
    </row>
    <row r="7" spans="1:8" ht="21" x14ac:dyDescent="0.35">
      <c r="A7" s="115" t="s">
        <v>224</v>
      </c>
    </row>
    <row r="8" spans="1:8" x14ac:dyDescent="0.25">
      <c r="A8" s="116"/>
      <c r="B8" s="113" t="s">
        <v>0</v>
      </c>
      <c r="C8" s="114"/>
      <c r="D8" s="114"/>
      <c r="E8" s="114"/>
    </row>
    <row r="9" spans="1:8" ht="28.5" customHeight="1" x14ac:dyDescent="0.25">
      <c r="A9" s="116"/>
      <c r="B9" s="83" t="s">
        <v>125</v>
      </c>
      <c r="C9" s="83" t="s">
        <v>124</v>
      </c>
      <c r="D9" s="83" t="s">
        <v>123</v>
      </c>
      <c r="E9" s="83" t="s">
        <v>122</v>
      </c>
    </row>
    <row r="10" spans="1:8" x14ac:dyDescent="0.25">
      <c r="A10" s="117" t="s">
        <v>121</v>
      </c>
      <c r="B10" s="2"/>
      <c r="C10" s="2"/>
      <c r="D10" s="2"/>
      <c r="E10" s="2"/>
    </row>
    <row r="11" spans="1:8" x14ac:dyDescent="0.25">
      <c r="A11" s="117" t="s">
        <v>120</v>
      </c>
      <c r="B11" s="2"/>
      <c r="C11" s="2"/>
      <c r="D11" s="5">
        <f t="shared" ref="D11:D20" si="0">(B11)-(C11)</f>
        <v>0</v>
      </c>
      <c r="E11" s="87" t="str">
        <f t="shared" ref="E11:E20" si="1">IF(C11=0,"",(B11)/(C11))</f>
        <v/>
      </c>
      <c r="G11" t="s">
        <v>250</v>
      </c>
    </row>
    <row r="12" spans="1:8" x14ac:dyDescent="0.25">
      <c r="A12" s="117" t="s">
        <v>119</v>
      </c>
      <c r="B12" s="91">
        <f>18357.5</f>
        <v>18357.5</v>
      </c>
      <c r="C12" s="91">
        <f>12062.5</f>
        <v>12062.5</v>
      </c>
      <c r="D12" s="91">
        <f t="shared" si="0"/>
        <v>6295</v>
      </c>
      <c r="E12" s="87">
        <f t="shared" si="1"/>
        <v>1.5218652849740932</v>
      </c>
    </row>
    <row r="13" spans="1:8" x14ac:dyDescent="0.25">
      <c r="A13" s="117" t="s">
        <v>118</v>
      </c>
      <c r="B13" s="90"/>
      <c r="C13" s="90"/>
      <c r="D13" s="91">
        <f t="shared" si="0"/>
        <v>0</v>
      </c>
      <c r="E13" s="87" t="str">
        <f t="shared" si="1"/>
        <v/>
      </c>
      <c r="G13" t="s">
        <v>240</v>
      </c>
    </row>
    <row r="14" spans="1:8" x14ac:dyDescent="0.25">
      <c r="A14" s="117" t="s">
        <v>117</v>
      </c>
      <c r="B14" s="91">
        <f>71734.45</f>
        <v>71734.45</v>
      </c>
      <c r="C14" s="91">
        <f>72500</f>
        <v>72500</v>
      </c>
      <c r="D14" s="91">
        <f t="shared" si="0"/>
        <v>-765.55000000000291</v>
      </c>
      <c r="E14" s="87">
        <f t="shared" si="1"/>
        <v>0.9894406896551724</v>
      </c>
    </row>
    <row r="15" spans="1:8" x14ac:dyDescent="0.25">
      <c r="A15" s="117" t="s">
        <v>187</v>
      </c>
      <c r="B15" s="92">
        <f>(B13)+(B14)</f>
        <v>71734.45</v>
      </c>
      <c r="C15" s="92">
        <f>(C13)+(C14)</f>
        <v>72500</v>
      </c>
      <c r="D15" s="92">
        <f t="shared" si="0"/>
        <v>-765.55000000000291</v>
      </c>
      <c r="E15" s="88">
        <f t="shared" si="1"/>
        <v>0.9894406896551724</v>
      </c>
      <c r="H15" s="76"/>
    </row>
    <row r="16" spans="1:8" x14ac:dyDescent="0.25">
      <c r="A16" s="117" t="s">
        <v>188</v>
      </c>
      <c r="B16" s="91">
        <f>16666.68</f>
        <v>16666.68</v>
      </c>
      <c r="C16" s="91">
        <f>16666.68</f>
        <v>16666.68</v>
      </c>
      <c r="D16" s="91">
        <f t="shared" si="0"/>
        <v>0</v>
      </c>
      <c r="E16" s="87">
        <f t="shared" si="1"/>
        <v>1</v>
      </c>
    </row>
    <row r="17" spans="1:9" x14ac:dyDescent="0.25">
      <c r="A17" s="117" t="s">
        <v>116</v>
      </c>
      <c r="B17" s="92">
        <f>(((B11)+(B12))+(B15))+(B16)</f>
        <v>106758.63</v>
      </c>
      <c r="C17" s="92">
        <f>(((C11)+(C12))+(C15))+(C16)</f>
        <v>101229.18</v>
      </c>
      <c r="D17" s="92">
        <f t="shared" si="0"/>
        <v>5529.4500000000116</v>
      </c>
      <c r="E17" s="88">
        <f t="shared" si="1"/>
        <v>1.0546230839763793</v>
      </c>
    </row>
    <row r="18" spans="1:9" x14ac:dyDescent="0.25">
      <c r="A18" s="117" t="s">
        <v>115</v>
      </c>
      <c r="B18" s="91">
        <f>630.48</f>
        <v>630.48</v>
      </c>
      <c r="C18" s="90"/>
      <c r="D18" s="91">
        <f t="shared" si="0"/>
        <v>630.48</v>
      </c>
      <c r="E18" s="87" t="str">
        <f t="shared" si="1"/>
        <v/>
      </c>
    </row>
    <row r="19" spans="1:9" x14ac:dyDescent="0.25">
      <c r="A19" s="117" t="s">
        <v>114</v>
      </c>
      <c r="B19" s="92">
        <f>(B17)+(B18)</f>
        <v>107389.11</v>
      </c>
      <c r="C19" s="92">
        <f>(C17)+(C18)</f>
        <v>101229.18</v>
      </c>
      <c r="D19" s="92">
        <f t="shared" si="0"/>
        <v>6159.9300000000076</v>
      </c>
      <c r="E19" s="88">
        <f t="shared" si="1"/>
        <v>1.0608513276507823</v>
      </c>
    </row>
    <row r="20" spans="1:9" x14ac:dyDescent="0.25">
      <c r="A20" s="117" t="s">
        <v>113</v>
      </c>
      <c r="B20" s="92">
        <f>(B19)-(0)</f>
        <v>107389.11</v>
      </c>
      <c r="C20" s="92">
        <f>(C19)-(0)</f>
        <v>101229.18</v>
      </c>
      <c r="D20" s="92">
        <f t="shared" si="0"/>
        <v>6159.9300000000076</v>
      </c>
      <c r="E20" s="88">
        <f t="shared" si="1"/>
        <v>1.0608513276507823</v>
      </c>
      <c r="H20" s="76">
        <f>+D20</f>
        <v>6159.9300000000076</v>
      </c>
      <c r="I20" t="s">
        <v>228</v>
      </c>
    </row>
    <row r="21" spans="1:9" x14ac:dyDescent="0.25">
      <c r="A21" s="117" t="s">
        <v>112</v>
      </c>
      <c r="B21" s="90"/>
      <c r="C21" s="90"/>
      <c r="D21" s="90"/>
      <c r="E21" s="2"/>
    </row>
    <row r="22" spans="1:9" x14ac:dyDescent="0.25">
      <c r="A22" s="117" t="s">
        <v>225</v>
      </c>
      <c r="B22" s="91">
        <f>768.54</f>
        <v>768.54</v>
      </c>
      <c r="C22" s="91">
        <f>1666.68</f>
        <v>1666.68</v>
      </c>
      <c r="D22" s="91">
        <f t="shared" ref="D22:D33" si="2">(B22)-(C22)</f>
        <v>-898.1400000000001</v>
      </c>
      <c r="E22" s="87">
        <f t="shared" ref="E22:E33" si="3">IF(C22=0,"",(B22)/(C22))</f>
        <v>0.46112031103751167</v>
      </c>
    </row>
    <row r="23" spans="1:9" x14ac:dyDescent="0.25">
      <c r="A23" s="117" t="s">
        <v>189</v>
      </c>
      <c r="B23" s="90"/>
      <c r="C23" s="91">
        <f>4000</f>
        <v>4000</v>
      </c>
      <c r="D23" s="91">
        <f t="shared" si="2"/>
        <v>-4000</v>
      </c>
      <c r="E23" s="87">
        <f t="shared" si="3"/>
        <v>0</v>
      </c>
    </row>
    <row r="24" spans="1:9" x14ac:dyDescent="0.25">
      <c r="A24" s="117" t="s">
        <v>214</v>
      </c>
      <c r="B24" s="90"/>
      <c r="C24" s="91">
        <f>3333.32</f>
        <v>3333.32</v>
      </c>
      <c r="D24" s="91">
        <f t="shared" si="2"/>
        <v>-3333.32</v>
      </c>
      <c r="E24" s="87">
        <f t="shared" si="3"/>
        <v>0</v>
      </c>
    </row>
    <row r="25" spans="1:9" x14ac:dyDescent="0.25">
      <c r="A25" s="117" t="s">
        <v>111</v>
      </c>
      <c r="B25" s="91">
        <f>475.84</f>
        <v>475.84</v>
      </c>
      <c r="C25" s="91">
        <f>33.32</f>
        <v>33.32</v>
      </c>
      <c r="D25" s="91">
        <f t="shared" si="2"/>
        <v>442.52</v>
      </c>
      <c r="E25" s="87">
        <f t="shared" si="3"/>
        <v>14.280912364945978</v>
      </c>
      <c r="F25" t="s">
        <v>205</v>
      </c>
      <c r="G25" s="78">
        <f>SUM(B22:B33)</f>
        <v>10538.67</v>
      </c>
    </row>
    <row r="26" spans="1:9" x14ac:dyDescent="0.25">
      <c r="A26" s="117" t="s">
        <v>110</v>
      </c>
      <c r="B26" s="91">
        <f>400</f>
        <v>400</v>
      </c>
      <c r="C26" s="91">
        <f>400</f>
        <v>400</v>
      </c>
      <c r="D26" s="91">
        <f t="shared" si="2"/>
        <v>0</v>
      </c>
      <c r="E26" s="87">
        <f t="shared" si="3"/>
        <v>1</v>
      </c>
      <c r="F26" t="s">
        <v>206</v>
      </c>
      <c r="G26" s="78">
        <f>SUM(C22:C34)</f>
        <v>23675.040000000001</v>
      </c>
    </row>
    <row r="27" spans="1:9" x14ac:dyDescent="0.25">
      <c r="A27" s="117" t="s">
        <v>109</v>
      </c>
      <c r="B27" s="90"/>
      <c r="C27" s="91">
        <f>2058.32</f>
        <v>2058.3200000000002</v>
      </c>
      <c r="D27" s="91">
        <f t="shared" si="2"/>
        <v>-2058.3200000000002</v>
      </c>
      <c r="E27" s="87">
        <f t="shared" si="3"/>
        <v>0</v>
      </c>
      <c r="G27" s="75">
        <f>+G26-G25</f>
        <v>13136.37</v>
      </c>
    </row>
    <row r="28" spans="1:9" x14ac:dyDescent="0.25">
      <c r="A28" s="117" t="s">
        <v>241</v>
      </c>
      <c r="B28" s="91">
        <f>280.36</f>
        <v>280.36</v>
      </c>
      <c r="C28" s="90"/>
      <c r="D28" s="91">
        <f t="shared" si="2"/>
        <v>280.36</v>
      </c>
      <c r="E28" s="87" t="str">
        <f t="shared" si="3"/>
        <v/>
      </c>
      <c r="G28" s="75"/>
    </row>
    <row r="29" spans="1:9" x14ac:dyDescent="0.25">
      <c r="A29" s="117" t="s">
        <v>108</v>
      </c>
      <c r="B29" s="91">
        <f>313.93</f>
        <v>313.93</v>
      </c>
      <c r="C29" s="91">
        <f>1666.68</f>
        <v>1666.68</v>
      </c>
      <c r="D29" s="91">
        <f t="shared" si="2"/>
        <v>-1352.75</v>
      </c>
      <c r="E29" s="87">
        <f t="shared" si="3"/>
        <v>0.1883564931480548</v>
      </c>
      <c r="G29" s="77"/>
      <c r="H29" s="80">
        <f>+D22+D23+D24+D25+D26+D27+D29+D30+D31+D32+D33+D28</f>
        <v>-13136.37</v>
      </c>
      <c r="I29" t="s">
        <v>201</v>
      </c>
    </row>
    <row r="30" spans="1:9" x14ac:dyDescent="0.25">
      <c r="A30" s="117" t="s">
        <v>209</v>
      </c>
      <c r="B30" s="91">
        <f>8000</f>
        <v>8000</v>
      </c>
      <c r="C30" s="91">
        <f>9666.68</f>
        <v>9666.68</v>
      </c>
      <c r="D30" s="91">
        <f t="shared" si="2"/>
        <v>-1666.6800000000003</v>
      </c>
      <c r="E30" s="87">
        <f t="shared" si="3"/>
        <v>0.82758506539990973</v>
      </c>
    </row>
    <row r="31" spans="1:9" x14ac:dyDescent="0.25">
      <c r="A31" s="117" t="s">
        <v>107</v>
      </c>
      <c r="B31" s="90"/>
      <c r="C31" s="91">
        <f>16.68</f>
        <v>16.68</v>
      </c>
      <c r="D31" s="91">
        <f t="shared" si="2"/>
        <v>-16.68</v>
      </c>
      <c r="E31" s="87">
        <f t="shared" si="3"/>
        <v>0</v>
      </c>
    </row>
    <row r="32" spans="1:9" x14ac:dyDescent="0.25">
      <c r="A32" s="117" t="s">
        <v>106</v>
      </c>
      <c r="B32" s="91">
        <f>300</f>
        <v>300</v>
      </c>
      <c r="C32" s="91">
        <f>666.68</f>
        <v>666.68</v>
      </c>
      <c r="D32" s="91">
        <f t="shared" si="2"/>
        <v>-366.67999999999995</v>
      </c>
      <c r="E32" s="87">
        <f t="shared" si="3"/>
        <v>0.44999100017999644</v>
      </c>
    </row>
    <row r="33" spans="1:11" x14ac:dyDescent="0.25">
      <c r="A33" s="117" t="s">
        <v>105</v>
      </c>
      <c r="B33" s="90"/>
      <c r="C33" s="91">
        <f>166.68</f>
        <v>166.68</v>
      </c>
      <c r="D33" s="91">
        <f t="shared" si="2"/>
        <v>-166.68</v>
      </c>
      <c r="E33" s="87">
        <f t="shared" si="3"/>
        <v>0</v>
      </c>
      <c r="G33" t="s">
        <v>219</v>
      </c>
    </row>
    <row r="34" spans="1:11" x14ac:dyDescent="0.25">
      <c r="A34" s="117" t="s">
        <v>104</v>
      </c>
      <c r="B34" s="90"/>
      <c r="C34" s="90"/>
      <c r="D34" s="91">
        <f t="shared" ref="D34:D65" si="4">(B34)-(C34)</f>
        <v>0</v>
      </c>
      <c r="E34" s="87" t="str">
        <f t="shared" ref="E34:E65" si="5">IF(C34=0,"",(B34)/(C34))</f>
        <v/>
      </c>
      <c r="F34" t="s">
        <v>205</v>
      </c>
      <c r="G34" s="80">
        <f>SUM(B34:B38)</f>
        <v>46336.549999999996</v>
      </c>
    </row>
    <row r="35" spans="1:11" x14ac:dyDescent="0.25">
      <c r="A35" s="117" t="s">
        <v>103</v>
      </c>
      <c r="B35" s="91">
        <f>2314.38</f>
        <v>2314.38</v>
      </c>
      <c r="C35" s="90"/>
      <c r="D35" s="91">
        <f t="shared" si="4"/>
        <v>2314.38</v>
      </c>
      <c r="E35" s="87" t="str">
        <f t="shared" si="5"/>
        <v/>
      </c>
      <c r="F35" t="s">
        <v>206</v>
      </c>
      <c r="G35" s="80">
        <f>SUM(C34:C38)</f>
        <v>52024.959999999999</v>
      </c>
      <c r="H35" s="78"/>
    </row>
    <row r="36" spans="1:11" x14ac:dyDescent="0.25">
      <c r="A36" s="117" t="s">
        <v>102</v>
      </c>
      <c r="B36" s="91">
        <f>39512.7</f>
        <v>39512.699999999997</v>
      </c>
      <c r="C36" s="91">
        <f>46992.32</f>
        <v>46992.32</v>
      </c>
      <c r="D36" s="91">
        <f t="shared" si="4"/>
        <v>-7479.6200000000026</v>
      </c>
      <c r="E36" s="87">
        <f t="shared" si="5"/>
        <v>0.8408331403940047</v>
      </c>
      <c r="G36" s="80">
        <f>+G34-G35</f>
        <v>-5688.4100000000035</v>
      </c>
      <c r="H36" s="81">
        <f>+G36</f>
        <v>-5688.4100000000035</v>
      </c>
      <c r="I36" t="s">
        <v>201</v>
      </c>
    </row>
    <row r="37" spans="1:11" x14ac:dyDescent="0.25">
      <c r="A37" s="117" t="s">
        <v>101</v>
      </c>
      <c r="B37" s="91">
        <f>110</f>
        <v>110</v>
      </c>
      <c r="C37" s="91">
        <f>333.32</f>
        <v>333.32</v>
      </c>
      <c r="D37" s="91">
        <f t="shared" si="4"/>
        <v>-223.32</v>
      </c>
      <c r="E37" s="87">
        <f t="shared" si="5"/>
        <v>0.33001320052802113</v>
      </c>
      <c r="F37">
        <f>250*4</f>
        <v>1000</v>
      </c>
      <c r="G37" s="80"/>
    </row>
    <row r="38" spans="1:11" x14ac:dyDescent="0.25">
      <c r="A38" s="117" t="s">
        <v>100</v>
      </c>
      <c r="B38" s="91">
        <f>4399.47</f>
        <v>4399.47</v>
      </c>
      <c r="C38" s="91">
        <f>4699.32</f>
        <v>4699.32</v>
      </c>
      <c r="D38" s="91">
        <f t="shared" si="4"/>
        <v>-299.84999999999945</v>
      </c>
      <c r="E38" s="87">
        <f t="shared" si="5"/>
        <v>0.936192895993463</v>
      </c>
    </row>
    <row r="39" spans="1:11" x14ac:dyDescent="0.25">
      <c r="A39" s="117" t="s">
        <v>99</v>
      </c>
      <c r="B39" s="92">
        <f>((((B34)+(B35))+(B36))+(B37))+(B38)</f>
        <v>46336.549999999996</v>
      </c>
      <c r="C39" s="92">
        <f>((((C34)+(C35))+(C36))+(C37))+(C38)</f>
        <v>52024.959999999999</v>
      </c>
      <c r="D39" s="92">
        <f t="shared" si="4"/>
        <v>-5688.4100000000035</v>
      </c>
      <c r="E39" s="88">
        <f t="shared" si="5"/>
        <v>0.89065998320806006</v>
      </c>
      <c r="K39" s="75">
        <f>+H44+H35</f>
        <v>8200.0600000000013</v>
      </c>
    </row>
    <row r="40" spans="1:11" x14ac:dyDescent="0.25">
      <c r="A40" s="117" t="s">
        <v>98</v>
      </c>
      <c r="B40" s="90"/>
      <c r="C40" s="90"/>
      <c r="D40" s="91">
        <f t="shared" si="4"/>
        <v>0</v>
      </c>
      <c r="E40" s="87" t="str">
        <f t="shared" si="5"/>
        <v/>
      </c>
    </row>
    <row r="41" spans="1:11" x14ac:dyDescent="0.25">
      <c r="A41" s="117" t="s">
        <v>97</v>
      </c>
      <c r="B41" s="91">
        <f>8800</f>
        <v>8800</v>
      </c>
      <c r="C41" s="91">
        <f>8800</f>
        <v>8800</v>
      </c>
      <c r="D41" s="91">
        <f t="shared" si="4"/>
        <v>0</v>
      </c>
      <c r="E41" s="87">
        <f t="shared" si="5"/>
        <v>1</v>
      </c>
    </row>
    <row r="42" spans="1:11" x14ac:dyDescent="0.25">
      <c r="A42" s="117" t="s">
        <v>96</v>
      </c>
      <c r="B42" s="91">
        <f>1200</f>
        <v>1200</v>
      </c>
      <c r="C42" s="91">
        <f>0</f>
        <v>0</v>
      </c>
      <c r="D42" s="91">
        <f t="shared" si="4"/>
        <v>1200</v>
      </c>
      <c r="E42" s="87" t="str">
        <f t="shared" si="5"/>
        <v/>
      </c>
    </row>
    <row r="43" spans="1:11" x14ac:dyDescent="0.25">
      <c r="A43" s="117" t="s">
        <v>95</v>
      </c>
      <c r="B43" s="91">
        <f>7333.38</f>
        <v>7333.38</v>
      </c>
      <c r="C43" s="91">
        <f>333.32</f>
        <v>333.32</v>
      </c>
      <c r="D43" s="91">
        <f t="shared" si="4"/>
        <v>7000.06</v>
      </c>
      <c r="E43" s="87">
        <f t="shared" si="5"/>
        <v>22.001020040801635</v>
      </c>
    </row>
    <row r="44" spans="1:11" x14ac:dyDescent="0.25">
      <c r="A44" s="117" t="s">
        <v>94</v>
      </c>
      <c r="B44" s="92">
        <f>(((B40)+(B41))+(B42))+(B43)</f>
        <v>17333.38</v>
      </c>
      <c r="C44" s="92">
        <f>(((C40)+(C41))+(C42))+(C43)</f>
        <v>9133.32</v>
      </c>
      <c r="D44" s="92">
        <f t="shared" si="4"/>
        <v>8200.0600000000013</v>
      </c>
      <c r="E44" s="88">
        <f t="shared" si="5"/>
        <v>1.8978180990045244</v>
      </c>
      <c r="H44" s="76">
        <f>+D44</f>
        <v>8200.0600000000013</v>
      </c>
      <c r="I44" t="s">
        <v>229</v>
      </c>
    </row>
    <row r="45" spans="1:11" x14ac:dyDescent="0.25">
      <c r="A45" s="117" t="s">
        <v>93</v>
      </c>
      <c r="B45" s="90"/>
      <c r="C45" s="90"/>
      <c r="D45" s="91">
        <f t="shared" si="4"/>
        <v>0</v>
      </c>
      <c r="E45" s="87" t="str">
        <f t="shared" si="5"/>
        <v/>
      </c>
    </row>
    <row r="46" spans="1:11" x14ac:dyDescent="0.25">
      <c r="A46" s="117" t="s">
        <v>92</v>
      </c>
      <c r="B46" s="91">
        <f>0</f>
        <v>0</v>
      </c>
      <c r="C46" s="90"/>
      <c r="D46" s="91">
        <f t="shared" si="4"/>
        <v>0</v>
      </c>
      <c r="E46" s="87" t="str">
        <f t="shared" si="5"/>
        <v/>
      </c>
    </row>
    <row r="47" spans="1:11" x14ac:dyDescent="0.25">
      <c r="A47" s="117" t="s">
        <v>91</v>
      </c>
      <c r="B47" s="91">
        <f>4011.37</f>
        <v>4011.37</v>
      </c>
      <c r="C47" s="91">
        <f>4000</f>
        <v>4000</v>
      </c>
      <c r="D47" s="91">
        <f t="shared" si="4"/>
        <v>11.369999999999891</v>
      </c>
      <c r="E47" s="87">
        <f t="shared" si="5"/>
        <v>1.0028425000000001</v>
      </c>
    </row>
    <row r="48" spans="1:11" x14ac:dyDescent="0.25">
      <c r="A48" s="117" t="s">
        <v>90</v>
      </c>
      <c r="B48" s="92">
        <f>((B45)+(B46))+(B47)</f>
        <v>4011.37</v>
      </c>
      <c r="C48" s="92">
        <f>((C45)+(C46))+(C47)</f>
        <v>4000</v>
      </c>
      <c r="D48" s="92">
        <f t="shared" si="4"/>
        <v>11.369999999999891</v>
      </c>
      <c r="E48" s="88">
        <f t="shared" si="5"/>
        <v>1.0028425000000001</v>
      </c>
      <c r="H48" s="76">
        <f>+D48</f>
        <v>11.369999999999891</v>
      </c>
      <c r="I48" t="s">
        <v>202</v>
      </c>
    </row>
    <row r="49" spans="1:11" x14ac:dyDescent="0.25">
      <c r="A49" s="117" t="s">
        <v>89</v>
      </c>
      <c r="B49" s="90"/>
      <c r="C49" s="90"/>
      <c r="D49" s="91">
        <f t="shared" si="4"/>
        <v>0</v>
      </c>
      <c r="E49" s="87" t="str">
        <f t="shared" si="5"/>
        <v/>
      </c>
    </row>
    <row r="50" spans="1:11" x14ac:dyDescent="0.25">
      <c r="A50" s="117" t="s">
        <v>88</v>
      </c>
      <c r="B50" s="91">
        <f>30.5</f>
        <v>30.5</v>
      </c>
      <c r="C50" s="91">
        <f>333.32</f>
        <v>333.32</v>
      </c>
      <c r="D50" s="91">
        <f t="shared" si="4"/>
        <v>-302.82</v>
      </c>
      <c r="E50" s="87">
        <f t="shared" si="5"/>
        <v>9.150366014640586E-2</v>
      </c>
    </row>
    <row r="51" spans="1:11" x14ac:dyDescent="0.25">
      <c r="A51" s="117" t="s">
        <v>87</v>
      </c>
      <c r="B51" s="91">
        <f>348.85</f>
        <v>348.85</v>
      </c>
      <c r="C51" s="91">
        <f>166.68</f>
        <v>166.68</v>
      </c>
      <c r="D51" s="91">
        <f t="shared" si="4"/>
        <v>182.17000000000002</v>
      </c>
      <c r="E51" s="87">
        <f t="shared" si="5"/>
        <v>2.0929325653947686</v>
      </c>
    </row>
    <row r="52" spans="1:11" x14ac:dyDescent="0.25">
      <c r="A52" s="117" t="s">
        <v>86</v>
      </c>
      <c r="B52" s="91">
        <f>138.33</f>
        <v>138.33000000000001</v>
      </c>
      <c r="C52" s="91">
        <f>333.32</f>
        <v>333.32</v>
      </c>
      <c r="D52" s="91">
        <f t="shared" si="4"/>
        <v>-194.98999999999998</v>
      </c>
      <c r="E52" s="87">
        <f t="shared" si="5"/>
        <v>0.41500660026401059</v>
      </c>
    </row>
    <row r="53" spans="1:11" x14ac:dyDescent="0.25">
      <c r="A53" s="117" t="s">
        <v>85</v>
      </c>
      <c r="B53" s="91">
        <f>628.62</f>
        <v>628.62</v>
      </c>
      <c r="C53" s="91">
        <f>1000</f>
        <v>1000</v>
      </c>
      <c r="D53" s="91">
        <f t="shared" si="4"/>
        <v>-371.38</v>
      </c>
      <c r="E53" s="87">
        <f t="shared" si="5"/>
        <v>0.62861999999999996</v>
      </c>
    </row>
    <row r="54" spans="1:11" x14ac:dyDescent="0.25">
      <c r="A54" s="117" t="s">
        <v>84</v>
      </c>
      <c r="B54" s="91">
        <f>50</f>
        <v>50</v>
      </c>
      <c r="C54" s="91">
        <f>150</f>
        <v>150</v>
      </c>
      <c r="D54" s="91">
        <f t="shared" si="4"/>
        <v>-100</v>
      </c>
      <c r="E54" s="87">
        <f t="shared" si="5"/>
        <v>0.33333333333333331</v>
      </c>
    </row>
    <row r="55" spans="1:11" x14ac:dyDescent="0.25">
      <c r="A55" s="117" t="s">
        <v>83</v>
      </c>
      <c r="B55" s="91">
        <f>654.64</f>
        <v>654.64</v>
      </c>
      <c r="C55" s="91">
        <f>400</f>
        <v>400</v>
      </c>
      <c r="D55" s="91">
        <f t="shared" si="4"/>
        <v>254.64</v>
      </c>
      <c r="E55" s="87">
        <f t="shared" si="5"/>
        <v>1.6366000000000001</v>
      </c>
      <c r="H55" s="76">
        <f>+D56</f>
        <v>-532.37999999999965</v>
      </c>
      <c r="I55" t="s">
        <v>201</v>
      </c>
    </row>
    <row r="56" spans="1:11" x14ac:dyDescent="0.25">
      <c r="A56" s="117" t="s">
        <v>82</v>
      </c>
      <c r="B56" s="92">
        <f>((((((B49)+(B50))+(B51))+(B52))+(B53))+(B54))+(B55)</f>
        <v>1850.94</v>
      </c>
      <c r="C56" s="92">
        <f>((((((C49)+(C50))+(C51))+(C52))+(C53))+(C54))+(C55)</f>
        <v>2383.3199999999997</v>
      </c>
      <c r="D56" s="92">
        <f t="shared" si="4"/>
        <v>-532.37999999999965</v>
      </c>
      <c r="E56" s="88">
        <f t="shared" si="5"/>
        <v>0.7766225265595893</v>
      </c>
    </row>
    <row r="57" spans="1:11" x14ac:dyDescent="0.25">
      <c r="A57" s="117" t="s">
        <v>81</v>
      </c>
      <c r="B57" s="90"/>
      <c r="C57" s="90"/>
      <c r="D57" s="91">
        <f t="shared" si="4"/>
        <v>0</v>
      </c>
      <c r="E57" s="87" t="str">
        <f t="shared" si="5"/>
        <v/>
      </c>
    </row>
    <row r="58" spans="1:11" x14ac:dyDescent="0.25">
      <c r="A58" s="117" t="s">
        <v>190</v>
      </c>
      <c r="B58" s="91">
        <f>437.5</f>
        <v>437.5</v>
      </c>
      <c r="C58" s="91">
        <f>83.32</f>
        <v>83.32</v>
      </c>
      <c r="D58" s="91">
        <f t="shared" si="4"/>
        <v>354.18</v>
      </c>
      <c r="E58" s="87">
        <f t="shared" si="5"/>
        <v>5.2508401344215079</v>
      </c>
    </row>
    <row r="59" spans="1:11" x14ac:dyDescent="0.25">
      <c r="A59" s="117" t="s">
        <v>80</v>
      </c>
      <c r="B59" s="91">
        <f>1118.75</f>
        <v>1118.75</v>
      </c>
      <c r="C59" s="91">
        <f>166.68</f>
        <v>166.68</v>
      </c>
      <c r="D59" s="91">
        <f t="shared" si="4"/>
        <v>952.06999999999994</v>
      </c>
      <c r="E59" s="87">
        <f t="shared" si="5"/>
        <v>6.7119630429565635</v>
      </c>
    </row>
    <row r="60" spans="1:11" x14ac:dyDescent="0.25">
      <c r="A60" s="117" t="s">
        <v>79</v>
      </c>
      <c r="B60" s="90"/>
      <c r="C60" s="91">
        <f>66.68</f>
        <v>66.680000000000007</v>
      </c>
      <c r="D60" s="91">
        <f t="shared" si="4"/>
        <v>-66.680000000000007</v>
      </c>
      <c r="E60" s="87">
        <f t="shared" si="5"/>
        <v>0</v>
      </c>
    </row>
    <row r="61" spans="1:11" x14ac:dyDescent="0.25">
      <c r="A61" s="117" t="s">
        <v>78</v>
      </c>
      <c r="B61" s="90"/>
      <c r="C61" s="91">
        <f>50</f>
        <v>50</v>
      </c>
      <c r="D61" s="91">
        <f t="shared" si="4"/>
        <v>-50</v>
      </c>
      <c r="E61" s="87">
        <f t="shared" si="5"/>
        <v>0</v>
      </c>
    </row>
    <row r="62" spans="1:11" x14ac:dyDescent="0.25">
      <c r="A62" s="117" t="s">
        <v>77</v>
      </c>
      <c r="B62" s="92">
        <f>((((B57)+(B58))+(B59))+(B60))+(B61)</f>
        <v>1556.25</v>
      </c>
      <c r="C62" s="92">
        <f>((((C57)+(C58))+(C59))+(C60))+(C61)</f>
        <v>366.68</v>
      </c>
      <c r="D62" s="92">
        <f t="shared" si="4"/>
        <v>1189.57</v>
      </c>
      <c r="E62" s="88">
        <f t="shared" si="5"/>
        <v>4.2441638485873243</v>
      </c>
      <c r="H62" s="76">
        <f>+D62</f>
        <v>1189.57</v>
      </c>
      <c r="I62" t="s">
        <v>202</v>
      </c>
      <c r="K62" s="77"/>
    </row>
    <row r="63" spans="1:11" x14ac:dyDescent="0.25">
      <c r="A63" s="117" t="s">
        <v>191</v>
      </c>
      <c r="B63" s="91">
        <f>9100</f>
        <v>9100</v>
      </c>
      <c r="C63" s="90"/>
      <c r="D63" s="91">
        <f t="shared" si="4"/>
        <v>9100</v>
      </c>
      <c r="E63" s="87" t="str">
        <f t="shared" si="5"/>
        <v/>
      </c>
      <c r="H63" s="78">
        <f>+D63</f>
        <v>9100</v>
      </c>
      <c r="K63" s="75"/>
    </row>
    <row r="64" spans="1:11" x14ac:dyDescent="0.25">
      <c r="A64" s="117" t="s">
        <v>76</v>
      </c>
      <c r="B64" s="92">
        <f>((((((((((((((((B22)+(B23))+(B24))+(B25))+(B26))+(B27))+(B29))+(B30))+(B31))+(B32))+(B33))+(B39))+(B44))+(B48))+(B56))+(B62))+(B63)+B28</f>
        <v>90727.159999999989</v>
      </c>
      <c r="C64" s="92">
        <f>((((((((((((((((C22)+(C23))+(C24))+(C25))+(C26))+(C27))+(C29))+(C30))+(C31))+(C32))+(C33))+(C39))+(C44))+(C48))+(C56))+(C62))+(C63)</f>
        <v>91583.32</v>
      </c>
      <c r="D64" s="92">
        <f t="shared" si="4"/>
        <v>-856.16000000001804</v>
      </c>
      <c r="E64" s="88">
        <f t="shared" si="5"/>
        <v>0.99065157279731708</v>
      </c>
    </row>
    <row r="65" spans="1:9" ht="15.75" thickBot="1" x14ac:dyDescent="0.3">
      <c r="A65" s="117" t="s">
        <v>75</v>
      </c>
      <c r="B65" s="93">
        <f>(B20)-(B64)</f>
        <v>16661.950000000012</v>
      </c>
      <c r="C65" s="93">
        <f>(C20)-(C64)</f>
        <v>9645.859999999986</v>
      </c>
      <c r="D65" s="93">
        <f t="shared" si="4"/>
        <v>7016.0900000000256</v>
      </c>
      <c r="E65" s="88">
        <f t="shared" si="5"/>
        <v>1.727368010732069</v>
      </c>
      <c r="H65" s="80">
        <f>SUM(H24:H63)</f>
        <v>-856.16000000000531</v>
      </c>
      <c r="I65" s="77"/>
    </row>
    <row r="66" spans="1:9" ht="15.75" thickTop="1" x14ac:dyDescent="0.25">
      <c r="A66" s="117" t="s">
        <v>74</v>
      </c>
      <c r="B66" s="90"/>
      <c r="C66" s="90"/>
      <c r="D66" s="90"/>
      <c r="E66" s="2"/>
      <c r="G66" s="85" t="s">
        <v>230</v>
      </c>
      <c r="H66" s="76">
        <f>+H20</f>
        <v>6159.9300000000076</v>
      </c>
      <c r="I66" s="77"/>
    </row>
    <row r="67" spans="1:9" x14ac:dyDescent="0.25">
      <c r="A67" s="117" t="s">
        <v>73</v>
      </c>
      <c r="B67" s="91">
        <f>517595.99</f>
        <v>517595.99</v>
      </c>
      <c r="C67" s="90"/>
      <c r="D67" s="91">
        <f t="shared" ref="D67:D74" si="6">(B67)-(C67)</f>
        <v>517595.99</v>
      </c>
      <c r="E67" s="87" t="str">
        <f t="shared" ref="E67:E74" si="7">IF(C67=0,"",(B67)/(C67))</f>
        <v/>
      </c>
      <c r="G67" s="85" t="s">
        <v>231</v>
      </c>
      <c r="H67" s="77">
        <f>+H65</f>
        <v>-856.16000000000531</v>
      </c>
      <c r="I67" s="77"/>
    </row>
    <row r="68" spans="1:9" ht="15.75" thickBot="1" x14ac:dyDescent="0.3">
      <c r="A68" s="117" t="s">
        <v>72</v>
      </c>
      <c r="B68" s="90"/>
      <c r="C68" s="90"/>
      <c r="D68" s="91">
        <f t="shared" si="6"/>
        <v>0</v>
      </c>
      <c r="E68" s="87" t="str">
        <f t="shared" si="7"/>
        <v/>
      </c>
      <c r="H68" s="84">
        <f>+H66-H67</f>
        <v>7016.0900000000129</v>
      </c>
      <c r="I68" s="77"/>
    </row>
    <row r="69" spans="1:9" ht="15.75" thickTop="1" x14ac:dyDescent="0.25">
      <c r="A69" s="117" t="s">
        <v>71</v>
      </c>
      <c r="B69" s="91">
        <f>60733.94</f>
        <v>60733.94</v>
      </c>
      <c r="C69" s="90"/>
      <c r="D69" s="91">
        <f t="shared" si="6"/>
        <v>60733.94</v>
      </c>
      <c r="E69" s="87" t="str">
        <f t="shared" si="7"/>
        <v/>
      </c>
      <c r="H69" s="80"/>
      <c r="I69" s="77"/>
    </row>
    <row r="70" spans="1:9" x14ac:dyDescent="0.25">
      <c r="A70" s="117" t="s">
        <v>180</v>
      </c>
      <c r="B70" s="91">
        <f>0</f>
        <v>0</v>
      </c>
      <c r="C70" s="90"/>
      <c r="D70" s="91">
        <f t="shared" si="6"/>
        <v>0</v>
      </c>
      <c r="E70" s="87" t="str">
        <f t="shared" si="7"/>
        <v/>
      </c>
      <c r="H70" s="80">
        <f>+H68-D65</f>
        <v>-1.2732925824820995E-11</v>
      </c>
      <c r="I70" s="77"/>
    </row>
    <row r="71" spans="1:9" x14ac:dyDescent="0.25">
      <c r="A71" s="117" t="s">
        <v>70</v>
      </c>
      <c r="B71" s="91">
        <f>-615604.07</f>
        <v>-615604.06999999995</v>
      </c>
      <c r="C71" s="90"/>
      <c r="D71" s="91">
        <f t="shared" si="6"/>
        <v>-615604.06999999995</v>
      </c>
      <c r="E71" s="87" t="str">
        <f t="shared" si="7"/>
        <v/>
      </c>
      <c r="H71" s="80"/>
      <c r="I71" s="77"/>
    </row>
    <row r="72" spans="1:9" x14ac:dyDescent="0.25">
      <c r="A72" s="117" t="s">
        <v>69</v>
      </c>
      <c r="B72" s="91">
        <f>-49402.13</f>
        <v>-49402.13</v>
      </c>
      <c r="C72" s="90"/>
      <c r="D72" s="91">
        <f t="shared" si="6"/>
        <v>-49402.13</v>
      </c>
      <c r="E72" s="87" t="str">
        <f t="shared" si="7"/>
        <v/>
      </c>
      <c r="H72" s="80"/>
      <c r="I72" s="77"/>
    </row>
    <row r="73" spans="1:9" x14ac:dyDescent="0.25">
      <c r="A73" s="117" t="s">
        <v>68</v>
      </c>
      <c r="B73" s="92">
        <f>((((B68)+(B69))+(B70))+(B71))+(B72)</f>
        <v>-604272.25999999989</v>
      </c>
      <c r="C73" s="92">
        <f>((((C68)+(C69))+(C70))+(C71))+(C72)</f>
        <v>0</v>
      </c>
      <c r="D73" s="92">
        <f t="shared" si="6"/>
        <v>-604272.25999999989</v>
      </c>
      <c r="E73" s="88" t="str">
        <f t="shared" si="7"/>
        <v/>
      </c>
      <c r="H73" s="80"/>
      <c r="I73" s="77"/>
    </row>
    <row r="74" spans="1:9" x14ac:dyDescent="0.25">
      <c r="A74" s="117" t="s">
        <v>67</v>
      </c>
      <c r="B74" s="92">
        <f>(B67)+(B73)</f>
        <v>-86676.269999999902</v>
      </c>
      <c r="C74" s="92">
        <f>(C67)+(C73)</f>
        <v>0</v>
      </c>
      <c r="D74" s="92">
        <f t="shared" si="6"/>
        <v>-86676.269999999902</v>
      </c>
      <c r="E74" s="88" t="str">
        <f t="shared" si="7"/>
        <v/>
      </c>
      <c r="H74" s="80"/>
      <c r="I74" s="77"/>
    </row>
    <row r="75" spans="1:9" x14ac:dyDescent="0.25">
      <c r="A75" s="3" t="s">
        <v>66</v>
      </c>
      <c r="B75" s="90"/>
      <c r="C75" s="90"/>
      <c r="D75" s="90"/>
      <c r="E75" s="2"/>
      <c r="H75" s="80"/>
      <c r="I75" s="77"/>
    </row>
    <row r="76" spans="1:9" x14ac:dyDescent="0.25">
      <c r="A76" s="3" t="s">
        <v>65</v>
      </c>
      <c r="B76" s="91">
        <f>531503.07</f>
        <v>531503.06999999995</v>
      </c>
      <c r="C76" s="90"/>
      <c r="D76" s="91">
        <f>(B76)-(C76)</f>
        <v>531503.06999999995</v>
      </c>
      <c r="E76" s="87" t="str">
        <f>IF(C76=0,"",(B76)/(C76))</f>
        <v/>
      </c>
    </row>
    <row r="77" spans="1:9" x14ac:dyDescent="0.25">
      <c r="A77" s="3" t="s">
        <v>64</v>
      </c>
      <c r="B77" s="92">
        <f>B76</f>
        <v>531503.06999999995</v>
      </c>
      <c r="C77" s="92">
        <f>C76</f>
        <v>0</v>
      </c>
      <c r="D77" s="92">
        <f>(B77)-(C77)</f>
        <v>531503.06999999995</v>
      </c>
      <c r="E77" s="88" t="str">
        <f>IF(C77=0,"",(B77)/(C77))</f>
        <v/>
      </c>
      <c r="F77" s="77"/>
    </row>
    <row r="78" spans="1:9" x14ac:dyDescent="0.25">
      <c r="A78" s="3" t="s">
        <v>63</v>
      </c>
      <c r="B78" s="92">
        <f>(B74)-(B77)</f>
        <v>-618179.33999999985</v>
      </c>
      <c r="C78" s="92">
        <f>(C74)-(C77)</f>
        <v>0</v>
      </c>
      <c r="D78" s="92">
        <f>(B78)-(C78)</f>
        <v>-618179.33999999985</v>
      </c>
      <c r="E78" s="88" t="str">
        <f>IF(C78=0,"",(B78)/(C78))</f>
        <v/>
      </c>
    </row>
    <row r="79" spans="1:9" x14ac:dyDescent="0.25">
      <c r="A79" s="3" t="s">
        <v>62</v>
      </c>
      <c r="B79" s="92">
        <f>(B65)+(B78)</f>
        <v>-601517.3899999999</v>
      </c>
      <c r="C79" s="92">
        <f>(C65)+(C78)</f>
        <v>9645.859999999986</v>
      </c>
      <c r="D79" s="92">
        <f>(B79)-(C79)</f>
        <v>-611163.24999999988</v>
      </c>
      <c r="E79" s="88">
        <f>IF(C79=0,"",(B79)/(C79))</f>
        <v>-62.360161768883309</v>
      </c>
      <c r="H79" s="77"/>
    </row>
    <row r="80" spans="1:9" x14ac:dyDescent="0.25">
      <c r="A80" s="3"/>
      <c r="B80" s="90"/>
      <c r="C80" s="90"/>
      <c r="D80" s="90"/>
      <c r="E80" s="2"/>
    </row>
    <row r="81" spans="1:8" x14ac:dyDescent="0.25">
      <c r="A81" s="110" t="s">
        <v>61</v>
      </c>
      <c r="B81" s="110"/>
      <c r="C81" s="110"/>
      <c r="D81" s="110"/>
      <c r="E81" s="110"/>
    </row>
    <row r="82" spans="1:8" x14ac:dyDescent="0.25">
      <c r="B82" s="80"/>
      <c r="C82" s="80"/>
      <c r="D82" s="80"/>
    </row>
    <row r="83" spans="1:8" x14ac:dyDescent="0.25">
      <c r="A83" s="111" t="s">
        <v>242</v>
      </c>
      <c r="B83" s="105"/>
      <c r="C83" s="105"/>
      <c r="D83" s="105"/>
      <c r="E83" s="105"/>
    </row>
    <row r="84" spans="1:8" x14ac:dyDescent="0.25">
      <c r="A84" s="3" t="s">
        <v>67</v>
      </c>
      <c r="B84" s="92">
        <f>(B77)+(B83)</f>
        <v>531503.06999999995</v>
      </c>
      <c r="C84" s="92">
        <f>(C77)+(C83)</f>
        <v>0</v>
      </c>
      <c r="D84" s="92">
        <f t="shared" ref="D84" si="8">(B84)-(C84)</f>
        <v>531503.06999999995</v>
      </c>
      <c r="E84" s="88" t="str">
        <f t="shared" ref="E84" si="9">IF(C84=0,"",(B84)/(C84))</f>
        <v/>
      </c>
      <c r="H84" s="77"/>
    </row>
    <row r="85" spans="1:8" x14ac:dyDescent="0.25">
      <c r="A85" s="3" t="s">
        <v>66</v>
      </c>
      <c r="B85" s="90"/>
      <c r="C85" s="90"/>
      <c r="D85" s="90"/>
      <c r="E85" s="2"/>
    </row>
    <row r="86" spans="1:8" x14ac:dyDescent="0.25">
      <c r="A86" s="3" t="s">
        <v>65</v>
      </c>
      <c r="B86" s="91">
        <f>408313.07</f>
        <v>408313.07</v>
      </c>
      <c r="C86" s="90"/>
      <c r="D86" s="91">
        <f>(B86)-(C86)</f>
        <v>408313.07</v>
      </c>
      <c r="E86" s="87" t="str">
        <f>IF(C86=0,"",(B86)/(C86))</f>
        <v/>
      </c>
    </row>
    <row r="87" spans="1:8" x14ac:dyDescent="0.25">
      <c r="A87" s="3" t="s">
        <v>64</v>
      </c>
      <c r="B87" s="92">
        <f>B86</f>
        <v>408313.07</v>
      </c>
      <c r="C87" s="92">
        <f>C86</f>
        <v>0</v>
      </c>
      <c r="D87" s="92">
        <f>(B87)-(C87)</f>
        <v>408313.07</v>
      </c>
      <c r="E87" s="88" t="str">
        <f>IF(C87=0,"",(B87)/(C87))</f>
        <v/>
      </c>
    </row>
    <row r="88" spans="1:8" x14ac:dyDescent="0.25">
      <c r="A88" s="3" t="s">
        <v>63</v>
      </c>
      <c r="B88" s="92">
        <f>(B84)-(B87)</f>
        <v>123189.99999999994</v>
      </c>
      <c r="C88" s="92">
        <f>(C84)-(C87)</f>
        <v>0</v>
      </c>
      <c r="D88" s="92">
        <f>(B88)-(C88)</f>
        <v>123189.99999999994</v>
      </c>
      <c r="E88" s="88" t="str">
        <f>IF(C88=0,"",(B88)/(C88))</f>
        <v/>
      </c>
    </row>
    <row r="89" spans="1:8" x14ac:dyDescent="0.25">
      <c r="A89" s="3" t="s">
        <v>62</v>
      </c>
      <c r="B89" s="92">
        <f>(B65)+(B88)</f>
        <v>139851.94999999995</v>
      </c>
      <c r="C89" s="92">
        <f>(C65)+(C88)</f>
        <v>9645.859999999986</v>
      </c>
      <c r="D89" s="92">
        <f>(B89)-(C89)</f>
        <v>130206.08999999997</v>
      </c>
      <c r="E89" s="88">
        <f>IF(C89=0,"",(B89)/(C89))</f>
        <v>14.498650198116099</v>
      </c>
    </row>
    <row r="90" spans="1:8" x14ac:dyDescent="0.25">
      <c r="A90" s="3"/>
      <c r="B90" s="2"/>
      <c r="C90" s="2"/>
      <c r="D90" s="2"/>
      <c r="E90" s="2"/>
    </row>
    <row r="91" spans="1:8" x14ac:dyDescent="0.25">
      <c r="A91" s="110" t="s">
        <v>61</v>
      </c>
      <c r="B91" s="110"/>
      <c r="C91" s="110"/>
      <c r="D91" s="110"/>
      <c r="E91" s="110"/>
    </row>
    <row r="92" spans="1:8" x14ac:dyDescent="0.25">
      <c r="B92" s="80"/>
      <c r="C92" s="80"/>
      <c r="D92" s="80"/>
    </row>
    <row r="93" spans="1:8" x14ac:dyDescent="0.25">
      <c r="A93" s="111" t="s">
        <v>227</v>
      </c>
      <c r="B93" s="105"/>
      <c r="C93" s="105"/>
      <c r="D93" s="105"/>
      <c r="E93" s="105"/>
    </row>
  </sheetData>
  <mergeCells count="8">
    <mergeCell ref="A93:E93"/>
    <mergeCell ref="A1:E1"/>
    <mergeCell ref="A2:E2"/>
    <mergeCell ref="A3:E3"/>
    <mergeCell ref="B8:E8"/>
    <mergeCell ref="A91:E91"/>
    <mergeCell ref="A81:E81"/>
    <mergeCell ref="A83:E83"/>
  </mergeCells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BE77-C7D4-40DE-BDDA-4DDEF6DF365C}">
  <dimension ref="A1:L69"/>
  <sheetViews>
    <sheetView topLeftCell="A45" workbookViewId="0">
      <selection activeCell="L51" sqref="L51"/>
    </sheetView>
  </sheetViews>
  <sheetFormatPr defaultRowHeight="15" x14ac:dyDescent="0.25"/>
  <cols>
    <col min="1" max="1" width="23.7109375" customWidth="1"/>
    <col min="2" max="2" width="11.85546875" hidden="1" customWidth="1"/>
    <col min="3" max="3" width="12.28515625" customWidth="1"/>
    <col min="4" max="8" width="9.140625" hidden="1" customWidth="1"/>
    <col min="9" max="9" width="0" hidden="1" customWidth="1"/>
    <col min="10" max="10" width="10.42578125" hidden="1" customWidth="1"/>
    <col min="11" max="11" width="9.5703125" bestFit="1" customWidth="1"/>
    <col min="12" max="12" width="11" bestFit="1" customWidth="1"/>
  </cols>
  <sheetData>
    <row r="1" spans="1:12" ht="18" x14ac:dyDescent="0.25">
      <c r="A1" s="106" t="s">
        <v>59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2" ht="18" x14ac:dyDescent="0.25">
      <c r="A2" s="106" t="s">
        <v>220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2" x14ac:dyDescent="0.25">
      <c r="A3" s="107" t="s">
        <v>232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5" spans="1:12" ht="48.75" customHeight="1" x14ac:dyDescent="0.25">
      <c r="A5" s="1"/>
      <c r="B5" s="83" t="s">
        <v>221</v>
      </c>
      <c r="C5" s="83" t="s">
        <v>192</v>
      </c>
      <c r="D5" s="83" t="s">
        <v>193</v>
      </c>
      <c r="E5" s="83" t="s">
        <v>194</v>
      </c>
      <c r="F5" s="83" t="s">
        <v>195</v>
      </c>
      <c r="G5" s="83" t="s">
        <v>196</v>
      </c>
      <c r="H5" s="83" t="s">
        <v>197</v>
      </c>
      <c r="I5" s="83" t="s">
        <v>198</v>
      </c>
      <c r="J5" s="83" t="s">
        <v>199</v>
      </c>
      <c r="K5" s="83" t="s">
        <v>207</v>
      </c>
      <c r="L5" s="83" t="s">
        <v>126</v>
      </c>
    </row>
    <row r="6" spans="1:12" x14ac:dyDescent="0.25">
      <c r="A6" s="3" t="s">
        <v>121</v>
      </c>
      <c r="B6" s="2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15" customHeight="1" x14ac:dyDescent="0.25">
      <c r="A7" s="3" t="s">
        <v>120</v>
      </c>
      <c r="B7" s="2"/>
      <c r="C7" s="90"/>
      <c r="D7" s="90"/>
      <c r="E7" s="90"/>
      <c r="F7" s="90"/>
      <c r="G7" s="90"/>
      <c r="H7" s="90"/>
      <c r="I7" s="90"/>
      <c r="J7" s="90"/>
      <c r="K7" s="91">
        <f t="shared" ref="K7:K16" si="0">(((G7)+(H7))+(I7))+(J7)</f>
        <v>0</v>
      </c>
      <c r="L7" s="91">
        <f t="shared" ref="L7:L16" si="1">(((((B7)+(C7))+(D7))+(E7))+(F7))+(K7)</f>
        <v>0</v>
      </c>
    </row>
    <row r="8" spans="1:12" ht="15" customHeight="1" x14ac:dyDescent="0.25">
      <c r="A8" s="3" t="s">
        <v>119</v>
      </c>
      <c r="B8" s="2"/>
      <c r="C8" s="90"/>
      <c r="D8" s="90"/>
      <c r="E8" s="90"/>
      <c r="F8" s="90"/>
      <c r="G8" s="91">
        <f>12496.91</f>
        <v>12496.91</v>
      </c>
      <c r="H8" s="90"/>
      <c r="I8" s="90"/>
      <c r="J8" s="90"/>
      <c r="K8" s="91">
        <f t="shared" si="0"/>
        <v>12496.91</v>
      </c>
      <c r="L8" s="91">
        <f t="shared" si="1"/>
        <v>12496.91</v>
      </c>
    </row>
    <row r="9" spans="1:12" ht="15" customHeight="1" x14ac:dyDescent="0.25">
      <c r="A9" s="3" t="s">
        <v>118</v>
      </c>
      <c r="B9" s="2"/>
      <c r="C9" s="90"/>
      <c r="D9" s="90"/>
      <c r="E9" s="90"/>
      <c r="F9" s="90"/>
      <c r="G9" s="90"/>
      <c r="H9" s="90"/>
      <c r="I9" s="90"/>
      <c r="J9" s="90"/>
      <c r="K9" s="91">
        <f t="shared" si="0"/>
        <v>0</v>
      </c>
      <c r="L9" s="91">
        <f t="shared" si="1"/>
        <v>0</v>
      </c>
    </row>
    <row r="10" spans="1:12" ht="15" customHeight="1" x14ac:dyDescent="0.25">
      <c r="A10" s="3" t="s">
        <v>117</v>
      </c>
      <c r="B10" s="2"/>
      <c r="C10" s="90"/>
      <c r="D10" s="90"/>
      <c r="E10" s="90"/>
      <c r="F10" s="90"/>
      <c r="G10" s="91">
        <f>36576.07</f>
        <v>36576.07</v>
      </c>
      <c r="H10" s="90"/>
      <c r="I10" s="90"/>
      <c r="J10" s="90"/>
      <c r="K10" s="91">
        <f t="shared" si="0"/>
        <v>36576.07</v>
      </c>
      <c r="L10" s="91">
        <f t="shared" si="1"/>
        <v>36576.07</v>
      </c>
    </row>
    <row r="11" spans="1:12" ht="15" customHeight="1" x14ac:dyDescent="0.25">
      <c r="A11" s="3" t="s">
        <v>187</v>
      </c>
      <c r="B11" s="4">
        <f t="shared" ref="B11:J11" si="2">(B9)+(B10)</f>
        <v>0</v>
      </c>
      <c r="C11" s="92">
        <f t="shared" si="2"/>
        <v>0</v>
      </c>
      <c r="D11" s="92">
        <f t="shared" si="2"/>
        <v>0</v>
      </c>
      <c r="E11" s="92">
        <f t="shared" si="2"/>
        <v>0</v>
      </c>
      <c r="F11" s="92">
        <f t="shared" si="2"/>
        <v>0</v>
      </c>
      <c r="G11" s="92">
        <f t="shared" si="2"/>
        <v>36576.07</v>
      </c>
      <c r="H11" s="92">
        <f t="shared" si="2"/>
        <v>0</v>
      </c>
      <c r="I11" s="92">
        <f t="shared" si="2"/>
        <v>0</v>
      </c>
      <c r="J11" s="92">
        <f t="shared" si="2"/>
        <v>0</v>
      </c>
      <c r="K11" s="92">
        <f t="shared" si="0"/>
        <v>36576.07</v>
      </c>
      <c r="L11" s="92">
        <f t="shared" si="1"/>
        <v>36576.07</v>
      </c>
    </row>
    <row r="12" spans="1:12" ht="15" customHeight="1" x14ac:dyDescent="0.25">
      <c r="A12" s="3" t="s">
        <v>188</v>
      </c>
      <c r="B12" s="2"/>
      <c r="C12" s="91">
        <f>12500.01</f>
        <v>12500.01</v>
      </c>
      <c r="D12" s="90"/>
      <c r="E12" s="90"/>
      <c r="F12" s="90"/>
      <c r="G12" s="90"/>
      <c r="H12" s="90"/>
      <c r="I12" s="90"/>
      <c r="J12" s="90"/>
      <c r="K12" s="91">
        <f t="shared" si="0"/>
        <v>0</v>
      </c>
      <c r="L12" s="91">
        <f t="shared" si="1"/>
        <v>12500.01</v>
      </c>
    </row>
    <row r="13" spans="1:12" ht="15" customHeight="1" x14ac:dyDescent="0.25">
      <c r="A13" s="3" t="s">
        <v>116</v>
      </c>
      <c r="B13" s="4">
        <f t="shared" ref="B13:J13" si="3">(((B7)+(B8))+(B11))+(B12)</f>
        <v>0</v>
      </c>
      <c r="C13" s="92">
        <f t="shared" si="3"/>
        <v>12500.01</v>
      </c>
      <c r="D13" s="92">
        <f t="shared" si="3"/>
        <v>0</v>
      </c>
      <c r="E13" s="92">
        <f t="shared" si="3"/>
        <v>0</v>
      </c>
      <c r="F13" s="92">
        <f t="shared" si="3"/>
        <v>0</v>
      </c>
      <c r="G13" s="92">
        <f t="shared" si="3"/>
        <v>49072.979999999996</v>
      </c>
      <c r="H13" s="92">
        <f t="shared" si="3"/>
        <v>0</v>
      </c>
      <c r="I13" s="92">
        <f t="shared" si="3"/>
        <v>0</v>
      </c>
      <c r="J13" s="92">
        <f t="shared" si="3"/>
        <v>0</v>
      </c>
      <c r="K13" s="92">
        <f t="shared" si="0"/>
        <v>49072.979999999996</v>
      </c>
      <c r="L13" s="92">
        <f t="shared" si="1"/>
        <v>61572.99</v>
      </c>
    </row>
    <row r="14" spans="1:12" ht="15" customHeight="1" x14ac:dyDescent="0.25">
      <c r="A14" s="3" t="s">
        <v>115</v>
      </c>
      <c r="B14" s="2"/>
      <c r="C14" s="90"/>
      <c r="D14" s="90"/>
      <c r="E14" s="90"/>
      <c r="F14" s="90"/>
      <c r="G14" s="91">
        <f>169.87</f>
        <v>169.87</v>
      </c>
      <c r="H14" s="90"/>
      <c r="I14" s="90"/>
      <c r="J14" s="90"/>
      <c r="K14" s="91">
        <f t="shared" si="0"/>
        <v>169.87</v>
      </c>
      <c r="L14" s="91">
        <f t="shared" si="1"/>
        <v>169.87</v>
      </c>
    </row>
    <row r="15" spans="1:12" ht="15" customHeight="1" x14ac:dyDescent="0.25">
      <c r="A15" s="3" t="s">
        <v>114</v>
      </c>
      <c r="B15" s="4">
        <f t="shared" ref="B15:J15" si="4">(B13)+(B14)</f>
        <v>0</v>
      </c>
      <c r="C15" s="92">
        <f t="shared" si="4"/>
        <v>12500.01</v>
      </c>
      <c r="D15" s="92">
        <f t="shared" si="4"/>
        <v>0</v>
      </c>
      <c r="E15" s="92">
        <f t="shared" si="4"/>
        <v>0</v>
      </c>
      <c r="F15" s="92">
        <f t="shared" si="4"/>
        <v>0</v>
      </c>
      <c r="G15" s="92">
        <f t="shared" si="4"/>
        <v>49242.85</v>
      </c>
      <c r="H15" s="92">
        <f t="shared" si="4"/>
        <v>0</v>
      </c>
      <c r="I15" s="92">
        <f t="shared" si="4"/>
        <v>0</v>
      </c>
      <c r="J15" s="92">
        <f t="shared" si="4"/>
        <v>0</v>
      </c>
      <c r="K15" s="92">
        <f t="shared" si="0"/>
        <v>49242.85</v>
      </c>
      <c r="L15" s="92">
        <f t="shared" si="1"/>
        <v>61742.86</v>
      </c>
    </row>
    <row r="16" spans="1:12" ht="15" customHeight="1" x14ac:dyDescent="0.25">
      <c r="A16" s="3" t="s">
        <v>113</v>
      </c>
      <c r="B16" s="4">
        <f t="shared" ref="B16:J16" si="5">(B15)-(0)</f>
        <v>0</v>
      </c>
      <c r="C16" s="92">
        <f t="shared" si="5"/>
        <v>12500.01</v>
      </c>
      <c r="D16" s="92">
        <f t="shared" si="5"/>
        <v>0</v>
      </c>
      <c r="E16" s="92">
        <f t="shared" si="5"/>
        <v>0</v>
      </c>
      <c r="F16" s="92">
        <f t="shared" si="5"/>
        <v>0</v>
      </c>
      <c r="G16" s="92">
        <f t="shared" si="5"/>
        <v>49242.85</v>
      </c>
      <c r="H16" s="92">
        <f t="shared" si="5"/>
        <v>0</v>
      </c>
      <c r="I16" s="92">
        <f t="shared" si="5"/>
        <v>0</v>
      </c>
      <c r="J16" s="92">
        <f t="shared" si="5"/>
        <v>0</v>
      </c>
      <c r="K16" s="92">
        <f t="shared" si="0"/>
        <v>49242.85</v>
      </c>
      <c r="L16" s="92">
        <f t="shared" si="1"/>
        <v>61742.86</v>
      </c>
    </row>
    <row r="17" spans="1:12" ht="15" customHeight="1" x14ac:dyDescent="0.25">
      <c r="A17" s="3" t="s">
        <v>112</v>
      </c>
      <c r="B17" s="2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15" customHeight="1" x14ac:dyDescent="0.25">
      <c r="A18" s="3" t="s">
        <v>182</v>
      </c>
      <c r="B18" s="2"/>
      <c r="C18" s="91">
        <f>768.54</f>
        <v>768.54</v>
      </c>
      <c r="D18" s="90"/>
      <c r="E18" s="90"/>
      <c r="F18" s="90"/>
      <c r="G18" s="90"/>
      <c r="H18" s="90"/>
      <c r="I18" s="90"/>
      <c r="J18" s="90"/>
      <c r="K18" s="91">
        <f t="shared" ref="K18:K51" si="6">(((G18)+(H18))+(I18))+(J18)</f>
        <v>0</v>
      </c>
      <c r="L18" s="91">
        <f t="shared" ref="L18:L51" si="7">(((((B18)+(C18))+(D18))+(E18))+(F18))+(K18)</f>
        <v>768.54</v>
      </c>
    </row>
    <row r="19" spans="1:12" ht="15" customHeight="1" x14ac:dyDescent="0.25">
      <c r="A19" s="3" t="s">
        <v>111</v>
      </c>
      <c r="B19" s="2"/>
      <c r="C19" s="90"/>
      <c r="D19" s="90"/>
      <c r="E19" s="90"/>
      <c r="F19" s="91">
        <f>7.25</f>
        <v>7.25</v>
      </c>
      <c r="G19" s="90"/>
      <c r="H19" s="91">
        <f>79.97</f>
        <v>79.97</v>
      </c>
      <c r="I19" s="91">
        <f>206.09</f>
        <v>206.09</v>
      </c>
      <c r="J19" s="90"/>
      <c r="K19" s="91">
        <f t="shared" si="6"/>
        <v>286.06</v>
      </c>
      <c r="L19" s="91">
        <f t="shared" si="7"/>
        <v>293.31</v>
      </c>
    </row>
    <row r="20" spans="1:12" ht="15" customHeight="1" x14ac:dyDescent="0.25">
      <c r="A20" s="3" t="s">
        <v>110</v>
      </c>
      <c r="B20" s="2"/>
      <c r="C20" s="90"/>
      <c r="D20" s="90"/>
      <c r="E20" s="90"/>
      <c r="F20" s="90"/>
      <c r="G20" s="90"/>
      <c r="H20" s="90"/>
      <c r="I20" s="91">
        <f>300</f>
        <v>300</v>
      </c>
      <c r="J20" s="90"/>
      <c r="K20" s="91">
        <f t="shared" si="6"/>
        <v>300</v>
      </c>
      <c r="L20" s="91">
        <f t="shared" si="7"/>
        <v>300</v>
      </c>
    </row>
    <row r="21" spans="1:12" ht="15" customHeight="1" x14ac:dyDescent="0.25">
      <c r="A21" s="3" t="s">
        <v>108</v>
      </c>
      <c r="B21" s="2"/>
      <c r="C21" s="91">
        <f>313.93</f>
        <v>313.93</v>
      </c>
      <c r="D21" s="90"/>
      <c r="E21" s="90"/>
      <c r="F21" s="90"/>
      <c r="G21" s="90"/>
      <c r="H21" s="90"/>
      <c r="I21" s="90"/>
      <c r="J21" s="90"/>
      <c r="K21" s="91">
        <f t="shared" si="6"/>
        <v>0</v>
      </c>
      <c r="L21" s="91">
        <f t="shared" si="7"/>
        <v>313.93</v>
      </c>
    </row>
    <row r="22" spans="1:12" ht="15" customHeight="1" x14ac:dyDescent="0.25">
      <c r="A22" s="3" t="s">
        <v>209</v>
      </c>
      <c r="B22" s="2"/>
      <c r="C22" s="91">
        <f>900</f>
        <v>900</v>
      </c>
      <c r="D22" s="90"/>
      <c r="E22" s="90"/>
      <c r="F22" s="90"/>
      <c r="G22" s="90"/>
      <c r="H22" s="90"/>
      <c r="I22" s="90"/>
      <c r="J22" s="91">
        <f>5100</f>
        <v>5100</v>
      </c>
      <c r="K22" s="91">
        <f t="shared" si="6"/>
        <v>5100</v>
      </c>
      <c r="L22" s="91">
        <f t="shared" si="7"/>
        <v>6000</v>
      </c>
    </row>
    <row r="23" spans="1:12" ht="15" customHeight="1" x14ac:dyDescent="0.25">
      <c r="A23" s="3" t="s">
        <v>106</v>
      </c>
      <c r="B23" s="2"/>
      <c r="C23" s="91">
        <f>300</f>
        <v>300</v>
      </c>
      <c r="D23" s="90"/>
      <c r="E23" s="90"/>
      <c r="F23" s="90"/>
      <c r="G23" s="90"/>
      <c r="H23" s="90"/>
      <c r="I23" s="90"/>
      <c r="J23" s="90"/>
      <c r="K23" s="91">
        <f t="shared" si="6"/>
        <v>0</v>
      </c>
      <c r="L23" s="91">
        <f t="shared" si="7"/>
        <v>300</v>
      </c>
    </row>
    <row r="24" spans="1:12" ht="15" customHeight="1" x14ac:dyDescent="0.25">
      <c r="A24" s="3" t="s">
        <v>104</v>
      </c>
      <c r="B24" s="2"/>
      <c r="C24" s="90"/>
      <c r="D24" s="90"/>
      <c r="E24" s="90"/>
      <c r="F24" s="90"/>
      <c r="G24" s="90"/>
      <c r="H24" s="90"/>
      <c r="I24" s="90"/>
      <c r="J24" s="90"/>
      <c r="K24" s="91">
        <f t="shared" si="6"/>
        <v>0</v>
      </c>
      <c r="L24" s="91">
        <f t="shared" si="7"/>
        <v>0</v>
      </c>
    </row>
    <row r="25" spans="1:12" ht="15" customHeight="1" x14ac:dyDescent="0.25">
      <c r="A25" s="3" t="s">
        <v>103</v>
      </c>
      <c r="B25" s="2"/>
      <c r="C25" s="91">
        <f>1876.88</f>
        <v>1876.88</v>
      </c>
      <c r="D25" s="90"/>
      <c r="E25" s="90"/>
      <c r="F25" s="90"/>
      <c r="G25" s="90"/>
      <c r="H25" s="90"/>
      <c r="I25" s="90"/>
      <c r="J25" s="90"/>
      <c r="K25" s="91">
        <f t="shared" si="6"/>
        <v>0</v>
      </c>
      <c r="L25" s="91">
        <f t="shared" si="7"/>
        <v>1876.88</v>
      </c>
    </row>
    <row r="26" spans="1:12" ht="15" customHeight="1" x14ac:dyDescent="0.25">
      <c r="A26" s="3" t="s">
        <v>102</v>
      </c>
      <c r="B26" s="2"/>
      <c r="C26" s="91">
        <f>16333.5</f>
        <v>16333.5</v>
      </c>
      <c r="D26" s="90"/>
      <c r="E26" s="90"/>
      <c r="F26" s="90"/>
      <c r="G26" s="90"/>
      <c r="H26" s="90"/>
      <c r="I26" s="91">
        <f>13077.7</f>
        <v>13077.7</v>
      </c>
      <c r="J26" s="90"/>
      <c r="K26" s="91">
        <f t="shared" si="6"/>
        <v>13077.7</v>
      </c>
      <c r="L26" s="91">
        <f t="shared" si="7"/>
        <v>29411.200000000001</v>
      </c>
    </row>
    <row r="27" spans="1:12" ht="15" customHeight="1" x14ac:dyDescent="0.25">
      <c r="A27" s="3" t="s">
        <v>101</v>
      </c>
      <c r="B27" s="2"/>
      <c r="C27" s="90"/>
      <c r="D27" s="90"/>
      <c r="E27" s="90"/>
      <c r="F27" s="90"/>
      <c r="G27" s="90"/>
      <c r="H27" s="90"/>
      <c r="I27" s="91">
        <f>35</f>
        <v>35</v>
      </c>
      <c r="J27" s="90"/>
      <c r="K27" s="91">
        <f t="shared" si="6"/>
        <v>35</v>
      </c>
      <c r="L27" s="91">
        <f t="shared" si="7"/>
        <v>35</v>
      </c>
    </row>
    <row r="28" spans="1:12" ht="15" customHeight="1" x14ac:dyDescent="0.25">
      <c r="A28" s="3" t="s">
        <v>100</v>
      </c>
      <c r="B28" s="2"/>
      <c r="C28" s="91">
        <f>1570</f>
        <v>1570</v>
      </c>
      <c r="D28" s="90"/>
      <c r="E28" s="90"/>
      <c r="F28" s="90"/>
      <c r="G28" s="90"/>
      <c r="H28" s="90"/>
      <c r="I28" s="91">
        <f>1824.21</f>
        <v>1824.21</v>
      </c>
      <c r="J28" s="90"/>
      <c r="K28" s="91">
        <f t="shared" si="6"/>
        <v>1824.21</v>
      </c>
      <c r="L28" s="91">
        <f t="shared" si="7"/>
        <v>3394.21</v>
      </c>
    </row>
    <row r="29" spans="1:12" ht="15" customHeight="1" x14ac:dyDescent="0.25">
      <c r="A29" s="3" t="s">
        <v>99</v>
      </c>
      <c r="B29" s="4">
        <f t="shared" ref="B29:J29" si="8">((((B24)+(B25))+(B26))+(B27))+(B28)</f>
        <v>0</v>
      </c>
      <c r="C29" s="92">
        <f t="shared" si="8"/>
        <v>19780.38</v>
      </c>
      <c r="D29" s="92">
        <f t="shared" si="8"/>
        <v>0</v>
      </c>
      <c r="E29" s="92">
        <f t="shared" si="8"/>
        <v>0</v>
      </c>
      <c r="F29" s="92">
        <f t="shared" si="8"/>
        <v>0</v>
      </c>
      <c r="G29" s="92">
        <f t="shared" si="8"/>
        <v>0</v>
      </c>
      <c r="H29" s="92">
        <f t="shared" si="8"/>
        <v>0</v>
      </c>
      <c r="I29" s="92">
        <f t="shared" si="8"/>
        <v>14936.91</v>
      </c>
      <c r="J29" s="92">
        <f t="shared" si="8"/>
        <v>0</v>
      </c>
      <c r="K29" s="92">
        <f t="shared" si="6"/>
        <v>14936.91</v>
      </c>
      <c r="L29" s="92">
        <f t="shared" si="7"/>
        <v>34717.29</v>
      </c>
    </row>
    <row r="30" spans="1:12" ht="15" customHeight="1" x14ac:dyDescent="0.25">
      <c r="A30" s="3" t="s">
        <v>98</v>
      </c>
      <c r="B30" s="2"/>
      <c r="C30" s="90"/>
      <c r="D30" s="90"/>
      <c r="E30" s="90"/>
      <c r="F30" s="90"/>
      <c r="G30" s="90"/>
      <c r="H30" s="90"/>
      <c r="I30" s="90"/>
      <c r="J30" s="90"/>
      <c r="K30" s="91">
        <f t="shared" si="6"/>
        <v>0</v>
      </c>
      <c r="L30" s="91">
        <f t="shared" si="7"/>
        <v>0</v>
      </c>
    </row>
    <row r="31" spans="1:12" ht="15" customHeight="1" x14ac:dyDescent="0.25">
      <c r="A31" s="3" t="s">
        <v>97</v>
      </c>
      <c r="B31" s="2"/>
      <c r="C31" s="91">
        <f>660</f>
        <v>660</v>
      </c>
      <c r="D31" s="90"/>
      <c r="E31" s="90"/>
      <c r="F31" s="90"/>
      <c r="G31" s="90"/>
      <c r="H31" s="90"/>
      <c r="I31" s="91">
        <f>5940</f>
        <v>5940</v>
      </c>
      <c r="J31" s="90"/>
      <c r="K31" s="91">
        <f t="shared" si="6"/>
        <v>5940</v>
      </c>
      <c r="L31" s="91">
        <f t="shared" si="7"/>
        <v>6600</v>
      </c>
    </row>
    <row r="32" spans="1:12" ht="15" customHeight="1" x14ac:dyDescent="0.25">
      <c r="A32" s="3" t="s">
        <v>96</v>
      </c>
      <c r="B32" s="2"/>
      <c r="C32" s="90"/>
      <c r="D32" s="90"/>
      <c r="E32" s="90"/>
      <c r="F32" s="90"/>
      <c r="G32" s="90"/>
      <c r="H32" s="90"/>
      <c r="I32" s="91">
        <f>1200</f>
        <v>1200</v>
      </c>
      <c r="J32" s="90"/>
      <c r="K32" s="91">
        <f t="shared" si="6"/>
        <v>1200</v>
      </c>
      <c r="L32" s="91">
        <f t="shared" si="7"/>
        <v>1200</v>
      </c>
    </row>
    <row r="33" spans="1:12" ht="15" customHeight="1" x14ac:dyDescent="0.25">
      <c r="A33" s="3" t="s">
        <v>94</v>
      </c>
      <c r="B33" s="4">
        <f t="shared" ref="B33:J33" si="9">((B30)+(B31))+(B32)</f>
        <v>0</v>
      </c>
      <c r="C33" s="92">
        <f t="shared" si="9"/>
        <v>660</v>
      </c>
      <c r="D33" s="92">
        <f t="shared" si="9"/>
        <v>0</v>
      </c>
      <c r="E33" s="92">
        <f t="shared" si="9"/>
        <v>0</v>
      </c>
      <c r="F33" s="92">
        <f t="shared" si="9"/>
        <v>0</v>
      </c>
      <c r="G33" s="92">
        <f t="shared" si="9"/>
        <v>0</v>
      </c>
      <c r="H33" s="92">
        <f t="shared" si="9"/>
        <v>0</v>
      </c>
      <c r="I33" s="92">
        <f t="shared" si="9"/>
        <v>7140</v>
      </c>
      <c r="J33" s="92">
        <f t="shared" si="9"/>
        <v>0</v>
      </c>
      <c r="K33" s="92">
        <f t="shared" si="6"/>
        <v>7140</v>
      </c>
      <c r="L33" s="92">
        <f t="shared" si="7"/>
        <v>7800</v>
      </c>
    </row>
    <row r="34" spans="1:12" ht="15" customHeight="1" x14ac:dyDescent="0.25">
      <c r="A34" s="3" t="s">
        <v>93</v>
      </c>
      <c r="B34" s="2"/>
      <c r="C34" s="90"/>
      <c r="D34" s="90"/>
      <c r="E34" s="90"/>
      <c r="F34" s="90"/>
      <c r="G34" s="90"/>
      <c r="H34" s="90"/>
      <c r="I34" s="90"/>
      <c r="J34" s="90"/>
      <c r="K34" s="91">
        <f t="shared" si="6"/>
        <v>0</v>
      </c>
      <c r="L34" s="91">
        <f t="shared" si="7"/>
        <v>0</v>
      </c>
    </row>
    <row r="35" spans="1:12" ht="15" customHeight="1" x14ac:dyDescent="0.25">
      <c r="A35" s="3" t="s">
        <v>92</v>
      </c>
      <c r="B35" s="2"/>
      <c r="C35" s="90"/>
      <c r="D35" s="90"/>
      <c r="E35" s="90"/>
      <c r="F35" s="90"/>
      <c r="G35" s="90"/>
      <c r="H35" s="90"/>
      <c r="I35" s="90"/>
      <c r="J35" s="91">
        <f>0</f>
        <v>0</v>
      </c>
      <c r="K35" s="91">
        <f t="shared" si="6"/>
        <v>0</v>
      </c>
      <c r="L35" s="91">
        <f t="shared" si="7"/>
        <v>0</v>
      </c>
    </row>
    <row r="36" spans="1:12" ht="15" customHeight="1" x14ac:dyDescent="0.25">
      <c r="A36" s="3" t="s">
        <v>91</v>
      </c>
      <c r="B36" s="2"/>
      <c r="C36" s="91">
        <f>606.01</f>
        <v>606.01</v>
      </c>
      <c r="D36" s="90"/>
      <c r="E36" s="90"/>
      <c r="F36" s="90"/>
      <c r="G36" s="91">
        <f>-22</f>
        <v>-22</v>
      </c>
      <c r="H36" s="90"/>
      <c r="I36" s="91">
        <f>606.01</f>
        <v>606.01</v>
      </c>
      <c r="J36" s="90"/>
      <c r="K36" s="91">
        <f t="shared" si="6"/>
        <v>584.01</v>
      </c>
      <c r="L36" s="91">
        <f t="shared" si="7"/>
        <v>1190.02</v>
      </c>
    </row>
    <row r="37" spans="1:12" ht="15" customHeight="1" x14ac:dyDescent="0.25">
      <c r="A37" s="3" t="s">
        <v>90</v>
      </c>
      <c r="B37" s="4">
        <f t="shared" ref="B37:J37" si="10">((B34)+(B35))+(B36)</f>
        <v>0</v>
      </c>
      <c r="C37" s="92">
        <f t="shared" si="10"/>
        <v>606.01</v>
      </c>
      <c r="D37" s="92">
        <f t="shared" si="10"/>
        <v>0</v>
      </c>
      <c r="E37" s="92">
        <f t="shared" si="10"/>
        <v>0</v>
      </c>
      <c r="F37" s="92">
        <f t="shared" si="10"/>
        <v>0</v>
      </c>
      <c r="G37" s="92">
        <f t="shared" si="10"/>
        <v>-22</v>
      </c>
      <c r="H37" s="92">
        <f t="shared" si="10"/>
        <v>0</v>
      </c>
      <c r="I37" s="92">
        <f t="shared" si="10"/>
        <v>606.01</v>
      </c>
      <c r="J37" s="92">
        <f t="shared" si="10"/>
        <v>0</v>
      </c>
      <c r="K37" s="92">
        <f t="shared" si="6"/>
        <v>584.01</v>
      </c>
      <c r="L37" s="92">
        <f t="shared" si="7"/>
        <v>1190.02</v>
      </c>
    </row>
    <row r="38" spans="1:12" ht="15" customHeight="1" x14ac:dyDescent="0.25">
      <c r="A38" s="3" t="s">
        <v>89</v>
      </c>
      <c r="B38" s="2"/>
      <c r="C38" s="90"/>
      <c r="D38" s="90"/>
      <c r="E38" s="90"/>
      <c r="F38" s="90"/>
      <c r="G38" s="90"/>
      <c r="H38" s="90"/>
      <c r="I38" s="90"/>
      <c r="J38" s="90"/>
      <c r="K38" s="91">
        <f t="shared" si="6"/>
        <v>0</v>
      </c>
      <c r="L38" s="91">
        <f t="shared" si="7"/>
        <v>0</v>
      </c>
    </row>
    <row r="39" spans="1:12" ht="15" customHeight="1" x14ac:dyDescent="0.25">
      <c r="A39" s="3" t="s">
        <v>88</v>
      </c>
      <c r="B39" s="2"/>
      <c r="C39" s="90"/>
      <c r="D39" s="90"/>
      <c r="E39" s="90"/>
      <c r="F39" s="90"/>
      <c r="G39" s="90"/>
      <c r="H39" s="90"/>
      <c r="I39" s="91">
        <f>30.5</f>
        <v>30.5</v>
      </c>
      <c r="J39" s="90"/>
      <c r="K39" s="91">
        <f t="shared" si="6"/>
        <v>30.5</v>
      </c>
      <c r="L39" s="91">
        <f t="shared" si="7"/>
        <v>30.5</v>
      </c>
    </row>
    <row r="40" spans="1:12" ht="15" customHeight="1" x14ac:dyDescent="0.25">
      <c r="A40" s="3" t="s">
        <v>87</v>
      </c>
      <c r="B40" s="2"/>
      <c r="C40" s="91">
        <f>348.85</f>
        <v>348.85</v>
      </c>
      <c r="D40" s="90"/>
      <c r="E40" s="90"/>
      <c r="F40" s="90"/>
      <c r="G40" s="90"/>
      <c r="H40" s="90"/>
      <c r="I40" s="90"/>
      <c r="J40" s="90"/>
      <c r="K40" s="91">
        <f t="shared" si="6"/>
        <v>0</v>
      </c>
      <c r="L40" s="91">
        <f t="shared" si="7"/>
        <v>348.85</v>
      </c>
    </row>
    <row r="41" spans="1:12" ht="15" customHeight="1" x14ac:dyDescent="0.25">
      <c r="A41" s="3" t="s">
        <v>86</v>
      </c>
      <c r="B41" s="2"/>
      <c r="C41" s="91">
        <f>138.33</f>
        <v>138.33000000000001</v>
      </c>
      <c r="D41" s="90"/>
      <c r="E41" s="90"/>
      <c r="F41" s="90"/>
      <c r="G41" s="90"/>
      <c r="H41" s="90"/>
      <c r="I41" s="90"/>
      <c r="J41" s="90"/>
      <c r="K41" s="91">
        <f t="shared" si="6"/>
        <v>0</v>
      </c>
      <c r="L41" s="91">
        <f t="shared" si="7"/>
        <v>138.33000000000001</v>
      </c>
    </row>
    <row r="42" spans="1:12" ht="15" customHeight="1" x14ac:dyDescent="0.25">
      <c r="A42" s="3" t="s">
        <v>85</v>
      </c>
      <c r="B42" s="2"/>
      <c r="C42" s="90"/>
      <c r="D42" s="90"/>
      <c r="E42" s="90"/>
      <c r="F42" s="90"/>
      <c r="G42" s="90"/>
      <c r="H42" s="90"/>
      <c r="I42" s="91">
        <f>628.62</f>
        <v>628.62</v>
      </c>
      <c r="J42" s="90"/>
      <c r="K42" s="91">
        <f t="shared" si="6"/>
        <v>628.62</v>
      </c>
      <c r="L42" s="91">
        <f t="shared" si="7"/>
        <v>628.62</v>
      </c>
    </row>
    <row r="43" spans="1:12" ht="15" customHeight="1" x14ac:dyDescent="0.25">
      <c r="A43" s="3" t="s">
        <v>83</v>
      </c>
      <c r="B43" s="2"/>
      <c r="C43" s="91">
        <f>221.97</f>
        <v>221.97</v>
      </c>
      <c r="D43" s="90"/>
      <c r="E43" s="90"/>
      <c r="F43" s="90"/>
      <c r="G43" s="90"/>
      <c r="H43" s="90"/>
      <c r="I43" s="91">
        <f>223.26</f>
        <v>223.26</v>
      </c>
      <c r="J43" s="90"/>
      <c r="K43" s="91">
        <f t="shared" si="6"/>
        <v>223.26</v>
      </c>
      <c r="L43" s="91">
        <f t="shared" si="7"/>
        <v>445.23</v>
      </c>
    </row>
    <row r="44" spans="1:12" ht="15" customHeight="1" x14ac:dyDescent="0.25">
      <c r="A44" s="3" t="s">
        <v>82</v>
      </c>
      <c r="B44" s="4">
        <f t="shared" ref="B44:J44" si="11">(((((B38)+(B39))+(B40))+(B41))+(B42))+(B43)</f>
        <v>0</v>
      </c>
      <c r="C44" s="92">
        <f t="shared" si="11"/>
        <v>709.15000000000009</v>
      </c>
      <c r="D44" s="92">
        <f t="shared" si="11"/>
        <v>0</v>
      </c>
      <c r="E44" s="92">
        <f t="shared" si="11"/>
        <v>0</v>
      </c>
      <c r="F44" s="92">
        <f t="shared" si="11"/>
        <v>0</v>
      </c>
      <c r="G44" s="92">
        <f t="shared" si="11"/>
        <v>0</v>
      </c>
      <c r="H44" s="92">
        <f t="shared" si="11"/>
        <v>0</v>
      </c>
      <c r="I44" s="92">
        <f t="shared" si="11"/>
        <v>882.38</v>
      </c>
      <c r="J44" s="92">
        <f t="shared" si="11"/>
        <v>0</v>
      </c>
      <c r="K44" s="92">
        <f t="shared" si="6"/>
        <v>882.38</v>
      </c>
      <c r="L44" s="92">
        <f t="shared" si="7"/>
        <v>1591.5300000000002</v>
      </c>
    </row>
    <row r="45" spans="1:12" ht="15" customHeight="1" x14ac:dyDescent="0.25">
      <c r="A45" s="3" t="s">
        <v>81</v>
      </c>
      <c r="B45" s="2"/>
      <c r="C45" s="90"/>
      <c r="D45" s="90"/>
      <c r="E45" s="90"/>
      <c r="F45" s="90"/>
      <c r="G45" s="90"/>
      <c r="H45" s="90"/>
      <c r="I45" s="90"/>
      <c r="J45" s="90"/>
      <c r="K45" s="91">
        <f t="shared" si="6"/>
        <v>0</v>
      </c>
      <c r="L45" s="91">
        <f t="shared" si="7"/>
        <v>0</v>
      </c>
    </row>
    <row r="46" spans="1:12" ht="15" customHeight="1" x14ac:dyDescent="0.25">
      <c r="A46" s="3" t="s">
        <v>190</v>
      </c>
      <c r="B46" s="2"/>
      <c r="C46" s="91">
        <f>437.5</f>
        <v>437.5</v>
      </c>
      <c r="D46" s="90"/>
      <c r="E46" s="90"/>
      <c r="F46" s="90"/>
      <c r="G46" s="90"/>
      <c r="H46" s="90"/>
      <c r="I46" s="90"/>
      <c r="J46" s="90"/>
      <c r="K46" s="91">
        <f t="shared" si="6"/>
        <v>0</v>
      </c>
      <c r="L46" s="91">
        <f t="shared" si="7"/>
        <v>437.5</v>
      </c>
    </row>
    <row r="47" spans="1:12" ht="15" customHeight="1" x14ac:dyDescent="0.25">
      <c r="A47" s="3" t="s">
        <v>80</v>
      </c>
      <c r="B47" s="2"/>
      <c r="C47" s="91">
        <f>1058.75</f>
        <v>1058.75</v>
      </c>
      <c r="D47" s="90"/>
      <c r="E47" s="90"/>
      <c r="F47" s="90"/>
      <c r="G47" s="90"/>
      <c r="H47" s="90"/>
      <c r="I47" s="90"/>
      <c r="J47" s="91">
        <f>60</f>
        <v>60</v>
      </c>
      <c r="K47" s="91">
        <f t="shared" si="6"/>
        <v>60</v>
      </c>
      <c r="L47" s="91">
        <f t="shared" si="7"/>
        <v>1118.75</v>
      </c>
    </row>
    <row r="48" spans="1:12" ht="15" customHeight="1" x14ac:dyDescent="0.25">
      <c r="A48" s="3" t="s">
        <v>77</v>
      </c>
      <c r="B48" s="4">
        <f t="shared" ref="B48:J48" si="12">((B45)+(B46))+(B47)</f>
        <v>0</v>
      </c>
      <c r="C48" s="92">
        <f t="shared" si="12"/>
        <v>1496.25</v>
      </c>
      <c r="D48" s="92">
        <f t="shared" si="12"/>
        <v>0</v>
      </c>
      <c r="E48" s="92">
        <f t="shared" si="12"/>
        <v>0</v>
      </c>
      <c r="F48" s="92">
        <f t="shared" si="12"/>
        <v>0</v>
      </c>
      <c r="G48" s="92">
        <f t="shared" si="12"/>
        <v>0</v>
      </c>
      <c r="H48" s="92">
        <f t="shared" si="12"/>
        <v>0</v>
      </c>
      <c r="I48" s="92">
        <f t="shared" si="12"/>
        <v>0</v>
      </c>
      <c r="J48" s="92">
        <f t="shared" si="12"/>
        <v>60</v>
      </c>
      <c r="K48" s="92">
        <f t="shared" si="6"/>
        <v>60</v>
      </c>
      <c r="L48" s="92">
        <f t="shared" si="7"/>
        <v>1556.25</v>
      </c>
    </row>
    <row r="49" spans="1:12" ht="15" customHeight="1" x14ac:dyDescent="0.25">
      <c r="A49" s="3" t="s">
        <v>191</v>
      </c>
      <c r="B49" s="2"/>
      <c r="C49" s="90"/>
      <c r="D49" s="90"/>
      <c r="E49" s="90"/>
      <c r="F49" s="90"/>
      <c r="G49" s="90"/>
      <c r="H49" s="90"/>
      <c r="I49" s="90"/>
      <c r="J49" s="91">
        <f>9100</f>
        <v>9100</v>
      </c>
      <c r="K49" s="91">
        <f t="shared" si="6"/>
        <v>9100</v>
      </c>
      <c r="L49" s="91">
        <f t="shared" si="7"/>
        <v>9100</v>
      </c>
    </row>
    <row r="50" spans="1:12" ht="15" customHeight="1" x14ac:dyDescent="0.25">
      <c r="A50" s="3" t="s">
        <v>76</v>
      </c>
      <c r="B50" s="4">
        <f t="shared" ref="B50:J50" si="13">(((((((((((B18)+(B19))+(B20))+(B21))+(B22))+(B23))+(B29))+(B33))+(B37))+(B44))+(B48))+(B49)</f>
        <v>0</v>
      </c>
      <c r="C50" s="92">
        <f t="shared" si="13"/>
        <v>25534.260000000002</v>
      </c>
      <c r="D50" s="92">
        <f t="shared" si="13"/>
        <v>0</v>
      </c>
      <c r="E50" s="92">
        <f t="shared" si="13"/>
        <v>0</v>
      </c>
      <c r="F50" s="92">
        <f t="shared" si="13"/>
        <v>7.25</v>
      </c>
      <c r="G50" s="92">
        <f t="shared" si="13"/>
        <v>-22</v>
      </c>
      <c r="H50" s="92">
        <f t="shared" si="13"/>
        <v>79.97</v>
      </c>
      <c r="I50" s="92">
        <f t="shared" si="13"/>
        <v>24071.39</v>
      </c>
      <c r="J50" s="92">
        <f t="shared" si="13"/>
        <v>14260</v>
      </c>
      <c r="K50" s="92">
        <f t="shared" si="6"/>
        <v>38389.360000000001</v>
      </c>
      <c r="L50" s="92">
        <f t="shared" si="7"/>
        <v>63930.87</v>
      </c>
    </row>
    <row r="51" spans="1:12" ht="15" customHeight="1" x14ac:dyDescent="0.25">
      <c r="A51" s="3" t="s">
        <v>75</v>
      </c>
      <c r="B51" s="4">
        <f t="shared" ref="B51:J51" si="14">(B16)-(B50)</f>
        <v>0</v>
      </c>
      <c r="C51" s="92">
        <f t="shared" si="14"/>
        <v>-13034.250000000002</v>
      </c>
      <c r="D51" s="92">
        <f t="shared" si="14"/>
        <v>0</v>
      </c>
      <c r="E51" s="92">
        <f t="shared" si="14"/>
        <v>0</v>
      </c>
      <c r="F51" s="92">
        <f t="shared" si="14"/>
        <v>-7.25</v>
      </c>
      <c r="G51" s="92">
        <f t="shared" si="14"/>
        <v>49264.85</v>
      </c>
      <c r="H51" s="92">
        <f t="shared" si="14"/>
        <v>-79.97</v>
      </c>
      <c r="I51" s="92">
        <f t="shared" si="14"/>
        <v>-24071.39</v>
      </c>
      <c r="J51" s="92">
        <f t="shared" si="14"/>
        <v>-14260</v>
      </c>
      <c r="K51" s="92">
        <f t="shared" si="6"/>
        <v>10853.489999999998</v>
      </c>
      <c r="L51" s="92">
        <f t="shared" si="7"/>
        <v>-2188.0100000000039</v>
      </c>
    </row>
    <row r="52" spans="1:12" ht="15" customHeight="1" x14ac:dyDescent="0.25">
      <c r="A52" s="3" t="s">
        <v>74</v>
      </c>
      <c r="B52" s="2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1:12" ht="15" customHeight="1" x14ac:dyDescent="0.25">
      <c r="A53" s="3" t="s">
        <v>73</v>
      </c>
      <c r="B53" s="5">
        <f>-137000</f>
        <v>-137000</v>
      </c>
      <c r="C53" s="90"/>
      <c r="D53" s="91">
        <f>0</f>
        <v>0</v>
      </c>
      <c r="E53" s="91">
        <f>68525.22</f>
        <v>68525.22</v>
      </c>
      <c r="F53" s="91">
        <f>138970</f>
        <v>138970</v>
      </c>
      <c r="G53" s="90"/>
      <c r="H53" s="90"/>
      <c r="I53" s="90"/>
      <c r="J53" s="90"/>
      <c r="K53" s="91">
        <f t="shared" ref="K53:K60" si="15">(((G53)+(H53))+(I53))+(J53)</f>
        <v>0</v>
      </c>
      <c r="L53" s="91">
        <f t="shared" ref="L53:L60" si="16">(((((B53)+(C53))+(D53))+(E53))+(F53))+(K53)</f>
        <v>70495.22</v>
      </c>
    </row>
    <row r="54" spans="1:12" ht="15" customHeight="1" x14ac:dyDescent="0.25">
      <c r="A54" s="3" t="s">
        <v>72</v>
      </c>
      <c r="B54" s="2"/>
      <c r="C54" s="90"/>
      <c r="D54" s="90"/>
      <c r="E54" s="90"/>
      <c r="F54" s="90"/>
      <c r="G54" s="90"/>
      <c r="H54" s="90"/>
      <c r="I54" s="90"/>
      <c r="J54" s="90"/>
      <c r="K54" s="91">
        <f t="shared" si="15"/>
        <v>0</v>
      </c>
      <c r="L54" s="91">
        <f t="shared" si="16"/>
        <v>0</v>
      </c>
    </row>
    <row r="55" spans="1:12" ht="15" customHeight="1" x14ac:dyDescent="0.25">
      <c r="A55" s="3" t="s">
        <v>71</v>
      </c>
      <c r="B55" s="2"/>
      <c r="C55" s="90"/>
      <c r="D55" s="91">
        <f>25562.16</f>
        <v>25562.16</v>
      </c>
      <c r="E55" s="91">
        <f>21655.76</f>
        <v>21655.759999999998</v>
      </c>
      <c r="F55" s="91">
        <f>1584.03</f>
        <v>1584.03</v>
      </c>
      <c r="G55" s="90"/>
      <c r="H55" s="90"/>
      <c r="I55" s="90"/>
      <c r="J55" s="90"/>
      <c r="K55" s="91">
        <f t="shared" si="15"/>
        <v>0</v>
      </c>
      <c r="L55" s="91">
        <f t="shared" si="16"/>
        <v>48801.95</v>
      </c>
    </row>
    <row r="56" spans="1:12" ht="15" customHeight="1" x14ac:dyDescent="0.25">
      <c r="A56" s="3" t="s">
        <v>180</v>
      </c>
      <c r="B56" s="2"/>
      <c r="C56" s="90"/>
      <c r="D56" s="91">
        <f>0</f>
        <v>0</v>
      </c>
      <c r="E56" s="91">
        <f>0</f>
        <v>0</v>
      </c>
      <c r="F56" s="91">
        <f>0</f>
        <v>0</v>
      </c>
      <c r="G56" s="90"/>
      <c r="H56" s="90"/>
      <c r="I56" s="90"/>
      <c r="J56" s="90"/>
      <c r="K56" s="91">
        <f t="shared" si="15"/>
        <v>0</v>
      </c>
      <c r="L56" s="91">
        <f t="shared" si="16"/>
        <v>0</v>
      </c>
    </row>
    <row r="57" spans="1:12" ht="23.25" x14ac:dyDescent="0.25">
      <c r="A57" s="3" t="s">
        <v>70</v>
      </c>
      <c r="B57" s="2"/>
      <c r="C57" s="90"/>
      <c r="D57" s="91">
        <f>-187014.52</f>
        <v>-187014.52</v>
      </c>
      <c r="E57" s="91">
        <f>-163514.42</f>
        <v>-163514.42000000001</v>
      </c>
      <c r="F57" s="91">
        <f>-11979.96</f>
        <v>-11979.96</v>
      </c>
      <c r="G57" s="90"/>
      <c r="H57" s="90"/>
      <c r="I57" s="90"/>
      <c r="J57" s="90"/>
      <c r="K57" s="91">
        <f t="shared" si="15"/>
        <v>0</v>
      </c>
      <c r="L57" s="91">
        <f t="shared" si="16"/>
        <v>-362508.9</v>
      </c>
    </row>
    <row r="58" spans="1:12" ht="23.25" x14ac:dyDescent="0.25">
      <c r="A58" s="3" t="s">
        <v>69</v>
      </c>
      <c r="B58" s="2"/>
      <c r="C58" s="90"/>
      <c r="D58" s="91">
        <f>-13642.52</f>
        <v>-13642.52</v>
      </c>
      <c r="E58" s="91">
        <f>-11783.6</f>
        <v>-11783.6</v>
      </c>
      <c r="F58" s="91">
        <f>0</f>
        <v>0</v>
      </c>
      <c r="G58" s="90"/>
      <c r="H58" s="90"/>
      <c r="I58" s="90"/>
      <c r="J58" s="90"/>
      <c r="K58" s="91">
        <f t="shared" si="15"/>
        <v>0</v>
      </c>
      <c r="L58" s="91">
        <f t="shared" si="16"/>
        <v>-25426.120000000003</v>
      </c>
    </row>
    <row r="59" spans="1:12" ht="23.25" x14ac:dyDescent="0.25">
      <c r="A59" s="3" t="s">
        <v>68</v>
      </c>
      <c r="B59" s="4">
        <f t="shared" ref="B59:J59" si="17">((((B54)+(B55))+(B56))+(B57))+(B58)</f>
        <v>0</v>
      </c>
      <c r="C59" s="92">
        <f t="shared" si="17"/>
        <v>0</v>
      </c>
      <c r="D59" s="92">
        <f t="shared" si="17"/>
        <v>-175094.87999999998</v>
      </c>
      <c r="E59" s="92">
        <f t="shared" si="17"/>
        <v>-153642.26</v>
      </c>
      <c r="F59" s="92">
        <f t="shared" si="17"/>
        <v>-10395.929999999998</v>
      </c>
      <c r="G59" s="92">
        <f t="shared" si="17"/>
        <v>0</v>
      </c>
      <c r="H59" s="92">
        <f t="shared" si="17"/>
        <v>0</v>
      </c>
      <c r="I59" s="92">
        <f t="shared" si="17"/>
        <v>0</v>
      </c>
      <c r="J59" s="92">
        <f t="shared" si="17"/>
        <v>0</v>
      </c>
      <c r="K59" s="92">
        <f t="shared" si="15"/>
        <v>0</v>
      </c>
      <c r="L59" s="92">
        <f t="shared" si="16"/>
        <v>-339133.07</v>
      </c>
    </row>
    <row r="60" spans="1:12" x14ac:dyDescent="0.25">
      <c r="A60" s="3" t="s">
        <v>67</v>
      </c>
      <c r="B60" s="4">
        <f t="shared" ref="B60:J60" si="18">(B53)+(B59)</f>
        <v>-137000</v>
      </c>
      <c r="C60" s="92">
        <f t="shared" si="18"/>
        <v>0</v>
      </c>
      <c r="D60" s="92">
        <f t="shared" si="18"/>
        <v>-175094.87999999998</v>
      </c>
      <c r="E60" s="92">
        <f t="shared" si="18"/>
        <v>-85117.040000000008</v>
      </c>
      <c r="F60" s="92">
        <f t="shared" si="18"/>
        <v>128574.07</v>
      </c>
      <c r="G60" s="92">
        <f t="shared" si="18"/>
        <v>0</v>
      </c>
      <c r="H60" s="92">
        <f t="shared" si="18"/>
        <v>0</v>
      </c>
      <c r="I60" s="92">
        <f t="shared" si="18"/>
        <v>0</v>
      </c>
      <c r="J60" s="92">
        <f t="shared" si="18"/>
        <v>0</v>
      </c>
      <c r="K60" s="92">
        <f t="shared" si="15"/>
        <v>0</v>
      </c>
      <c r="L60" s="92">
        <f t="shared" si="16"/>
        <v>-268637.85000000003</v>
      </c>
    </row>
    <row r="61" spans="1:12" x14ac:dyDescent="0.25">
      <c r="A61" s="3" t="s">
        <v>66</v>
      </c>
      <c r="B61" s="2"/>
      <c r="C61" s="90"/>
      <c r="D61" s="90"/>
      <c r="E61" s="90"/>
      <c r="F61" s="90"/>
      <c r="G61" s="90"/>
      <c r="H61" s="90"/>
      <c r="I61" s="90"/>
      <c r="J61" s="90"/>
      <c r="K61" s="90"/>
      <c r="L61" s="90"/>
    </row>
    <row r="62" spans="1:12" x14ac:dyDescent="0.25">
      <c r="A62" s="3" t="s">
        <v>65</v>
      </c>
      <c r="B62" s="5">
        <f>-68299.32</f>
        <v>-68299.320000000007</v>
      </c>
      <c r="C62" s="90"/>
      <c r="D62" s="91">
        <f>650</f>
        <v>650</v>
      </c>
      <c r="E62" s="91">
        <f>512989.38</f>
        <v>512989.38</v>
      </c>
      <c r="F62" s="91">
        <f>-32026.99</f>
        <v>-32026.99</v>
      </c>
      <c r="G62" s="91">
        <f>-5000</f>
        <v>-5000</v>
      </c>
      <c r="H62" s="90"/>
      <c r="I62" s="90"/>
      <c r="J62" s="90"/>
      <c r="K62" s="91">
        <f>(((G62)+(H62))+(I62))+(J62)</f>
        <v>-5000</v>
      </c>
      <c r="L62" s="91">
        <f>(((((B62)+(C62))+(D62))+(E62))+(F62))+(K62)</f>
        <v>408313.07</v>
      </c>
    </row>
    <row r="63" spans="1:12" x14ac:dyDescent="0.25">
      <c r="A63" s="3" t="s">
        <v>64</v>
      </c>
      <c r="B63" s="4">
        <f t="shared" ref="B63:J63" si="19">B62</f>
        <v>-68299.320000000007</v>
      </c>
      <c r="C63" s="92">
        <f t="shared" si="19"/>
        <v>0</v>
      </c>
      <c r="D63" s="92">
        <f t="shared" si="19"/>
        <v>650</v>
      </c>
      <c r="E63" s="92">
        <f t="shared" si="19"/>
        <v>512989.38</v>
      </c>
      <c r="F63" s="92">
        <f t="shared" si="19"/>
        <v>-32026.99</v>
      </c>
      <c r="G63" s="92">
        <f t="shared" si="19"/>
        <v>-5000</v>
      </c>
      <c r="H63" s="92">
        <f t="shared" si="19"/>
        <v>0</v>
      </c>
      <c r="I63" s="92">
        <f t="shared" si="19"/>
        <v>0</v>
      </c>
      <c r="J63" s="92">
        <f t="shared" si="19"/>
        <v>0</v>
      </c>
      <c r="K63" s="92">
        <f>(((G63)+(H63))+(I63))+(J63)</f>
        <v>-5000</v>
      </c>
      <c r="L63" s="92">
        <f>(((((B63)+(C63))+(D63))+(E63))+(F63))+(K63)</f>
        <v>408313.07</v>
      </c>
    </row>
    <row r="64" spans="1:12" x14ac:dyDescent="0.25">
      <c r="A64" s="3" t="s">
        <v>63</v>
      </c>
      <c r="B64" s="4">
        <f t="shared" ref="B64:J64" si="20">(B60)-(B63)</f>
        <v>-68700.679999999993</v>
      </c>
      <c r="C64" s="92">
        <f t="shared" si="20"/>
        <v>0</v>
      </c>
      <c r="D64" s="92">
        <f t="shared" si="20"/>
        <v>-175744.87999999998</v>
      </c>
      <c r="E64" s="92">
        <f t="shared" si="20"/>
        <v>-598106.42000000004</v>
      </c>
      <c r="F64" s="92">
        <f t="shared" si="20"/>
        <v>160601.06</v>
      </c>
      <c r="G64" s="92">
        <f t="shared" si="20"/>
        <v>5000</v>
      </c>
      <c r="H64" s="92">
        <f t="shared" si="20"/>
        <v>0</v>
      </c>
      <c r="I64" s="92">
        <f t="shared" si="20"/>
        <v>0</v>
      </c>
      <c r="J64" s="92">
        <f t="shared" si="20"/>
        <v>0</v>
      </c>
      <c r="K64" s="92">
        <f>(((G64)+(H64))+(I64))+(J64)</f>
        <v>5000</v>
      </c>
      <c r="L64" s="92">
        <f>(((((B64)+(C64))+(D64))+(E64))+(F64))+(K64)</f>
        <v>-676950.91999999993</v>
      </c>
    </row>
    <row r="65" spans="1:12" x14ac:dyDescent="0.25">
      <c r="A65" s="3" t="s">
        <v>62</v>
      </c>
      <c r="B65" s="4">
        <f t="shared" ref="B65:J65" si="21">(B51)+(B64)</f>
        <v>-68700.679999999993</v>
      </c>
      <c r="C65" s="92">
        <f t="shared" si="21"/>
        <v>-13034.250000000002</v>
      </c>
      <c r="D65" s="92">
        <f t="shared" si="21"/>
        <v>-175744.87999999998</v>
      </c>
      <c r="E65" s="92">
        <f t="shared" si="21"/>
        <v>-598106.42000000004</v>
      </c>
      <c r="F65" s="92">
        <f t="shared" si="21"/>
        <v>160593.81</v>
      </c>
      <c r="G65" s="92">
        <f t="shared" si="21"/>
        <v>54264.85</v>
      </c>
      <c r="H65" s="92">
        <f t="shared" si="21"/>
        <v>-79.97</v>
      </c>
      <c r="I65" s="92">
        <f t="shared" si="21"/>
        <v>-24071.39</v>
      </c>
      <c r="J65" s="92">
        <f t="shared" si="21"/>
        <v>-14260</v>
      </c>
      <c r="K65" s="92">
        <f>(((G65)+(H65))+(I65))+(J65)</f>
        <v>15853.489999999998</v>
      </c>
      <c r="L65" s="92">
        <f>(((((B65)+(C65))+(D65))+(E65))+(F65))+(K65)</f>
        <v>-679138.92999999993</v>
      </c>
    </row>
    <row r="66" spans="1:12" x14ac:dyDescent="0.25">
      <c r="A66" s="3"/>
      <c r="B66" s="2"/>
      <c r="C66" s="90"/>
      <c r="D66" s="90"/>
      <c r="E66" s="90"/>
      <c r="F66" s="90"/>
      <c r="G66" s="90"/>
      <c r="H66" s="90"/>
      <c r="I66" s="90"/>
      <c r="J66" s="90"/>
      <c r="K66" s="90"/>
      <c r="L66" s="90"/>
    </row>
    <row r="67" spans="1:12" x14ac:dyDescent="0.25">
      <c r="A67" s="110" t="s">
        <v>61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</row>
    <row r="68" spans="1:12" x14ac:dyDescent="0.25">
      <c r="C68" s="80"/>
      <c r="D68" s="80"/>
      <c r="E68" s="80"/>
      <c r="F68" s="80"/>
      <c r="G68" s="80"/>
      <c r="H68" s="80"/>
      <c r="I68" s="80"/>
      <c r="J68" s="80"/>
      <c r="K68" s="80"/>
      <c r="L68" s="80"/>
    </row>
    <row r="69" spans="1:12" x14ac:dyDescent="0.25">
      <c r="A69" s="111" t="s">
        <v>233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</row>
  </sheetData>
  <mergeCells count="5">
    <mergeCell ref="A67:L67"/>
    <mergeCell ref="A69:L69"/>
    <mergeCell ref="A1:J1"/>
    <mergeCell ref="A2:J2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1161A-577E-45B8-B811-FF95046E30D9}">
  <dimension ref="A1:G15"/>
  <sheetViews>
    <sheetView workbookViewId="0">
      <selection activeCell="E13" sqref="E13"/>
    </sheetView>
  </sheetViews>
  <sheetFormatPr defaultRowHeight="15" x14ac:dyDescent="0.25"/>
  <cols>
    <col min="1" max="1" width="31.85546875" customWidth="1"/>
    <col min="2" max="7" width="11.140625" customWidth="1"/>
  </cols>
  <sheetData>
    <row r="1" spans="1:7" ht="18" x14ac:dyDescent="0.25">
      <c r="A1" s="106" t="s">
        <v>59</v>
      </c>
      <c r="B1" s="105"/>
      <c r="C1" s="105"/>
      <c r="D1" s="105"/>
      <c r="E1" s="105"/>
      <c r="F1" s="105"/>
      <c r="G1" s="105"/>
    </row>
    <row r="2" spans="1:7" ht="18" x14ac:dyDescent="0.25">
      <c r="A2" s="106" t="s">
        <v>132</v>
      </c>
      <c r="B2" s="105"/>
      <c r="C2" s="105"/>
      <c r="D2" s="105"/>
      <c r="E2" s="105"/>
      <c r="F2" s="105"/>
      <c r="G2" s="105"/>
    </row>
    <row r="3" spans="1:7" x14ac:dyDescent="0.25">
      <c r="A3" s="107" t="s">
        <v>234</v>
      </c>
      <c r="B3" s="105"/>
      <c r="C3" s="105"/>
      <c r="D3" s="105"/>
      <c r="E3" s="105"/>
      <c r="F3" s="105"/>
      <c r="G3" s="105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235</v>
      </c>
      <c r="B6" s="2"/>
      <c r="C6" s="5">
        <f>1200</f>
        <v>1200</v>
      </c>
      <c r="D6" s="2"/>
      <c r="E6" s="2"/>
      <c r="F6" s="2"/>
      <c r="G6" s="5">
        <f t="shared" ref="G6:G11" si="0">((((B6)+(C6))+(D6))+(E6))+(F6)</f>
        <v>1200</v>
      </c>
    </row>
    <row r="7" spans="1:7" x14ac:dyDescent="0.25">
      <c r="A7" s="3" t="s">
        <v>236</v>
      </c>
      <c r="B7" s="5">
        <f>2000</f>
        <v>2000</v>
      </c>
      <c r="C7" s="5">
        <f>2000</f>
        <v>2000</v>
      </c>
      <c r="D7" s="2"/>
      <c r="E7" s="2"/>
      <c r="F7" s="2"/>
      <c r="G7" s="5">
        <f t="shared" si="0"/>
        <v>4000</v>
      </c>
    </row>
    <row r="8" spans="1:7" x14ac:dyDescent="0.25">
      <c r="A8" s="3" t="s">
        <v>200</v>
      </c>
      <c r="B8" s="5">
        <f>437.5</f>
        <v>437.5</v>
      </c>
      <c r="C8" s="2"/>
      <c r="D8" s="2"/>
      <c r="E8" s="2"/>
      <c r="F8" s="2"/>
      <c r="G8" s="5">
        <f t="shared" si="0"/>
        <v>437.5</v>
      </c>
    </row>
    <row r="9" spans="1:7" x14ac:dyDescent="0.25">
      <c r="A9" s="3" t="s">
        <v>204</v>
      </c>
      <c r="B9" s="5">
        <f>2200</f>
        <v>2200</v>
      </c>
      <c r="C9" s="2"/>
      <c r="D9" s="2"/>
      <c r="E9" s="2"/>
      <c r="F9" s="2"/>
      <c r="G9" s="5">
        <f t="shared" si="0"/>
        <v>2200</v>
      </c>
    </row>
    <row r="10" spans="1:7" x14ac:dyDescent="0.25">
      <c r="A10" s="3" t="s">
        <v>237</v>
      </c>
      <c r="B10" s="2"/>
      <c r="C10" s="5">
        <f>100</f>
        <v>100</v>
      </c>
      <c r="D10" s="5">
        <f>100</f>
        <v>100</v>
      </c>
      <c r="E10" s="5">
        <f>100</f>
        <v>100</v>
      </c>
      <c r="F10" s="2"/>
      <c r="G10" s="5">
        <f t="shared" si="0"/>
        <v>300</v>
      </c>
    </row>
    <row r="11" spans="1:7" x14ac:dyDescent="0.25">
      <c r="A11" s="3" t="s">
        <v>126</v>
      </c>
      <c r="B11" s="4">
        <f>((((B6)+(B7))+(B8))+(B9))+(B10)</f>
        <v>4637.5</v>
      </c>
      <c r="C11" s="4">
        <f>((((C6)+(C7))+(C8))+(C9))+(C10)</f>
        <v>3300</v>
      </c>
      <c r="D11" s="4">
        <f>((((D6)+(D7))+(D8))+(D9))+(D10)</f>
        <v>100</v>
      </c>
      <c r="E11" s="4">
        <f>((((E6)+(E7))+(E8))+(E9))+(E10)</f>
        <v>100</v>
      </c>
      <c r="F11" s="4">
        <f>((((F6)+(F7))+(F8))+(F9))+(F10)</f>
        <v>0</v>
      </c>
      <c r="G11" s="4">
        <f t="shared" si="0"/>
        <v>8137.5</v>
      </c>
    </row>
    <row r="12" spans="1:7" x14ac:dyDescent="0.25">
      <c r="A12" s="3"/>
      <c r="B12" s="2"/>
      <c r="C12" s="2"/>
      <c r="D12" s="2"/>
      <c r="E12" s="2"/>
      <c r="F12" s="2"/>
      <c r="G12" s="2"/>
    </row>
    <row r="15" spans="1:7" x14ac:dyDescent="0.25">
      <c r="A15" s="111" t="s">
        <v>238</v>
      </c>
      <c r="B15" s="105"/>
      <c r="C15" s="105"/>
      <c r="D15" s="105"/>
      <c r="E15" s="105"/>
      <c r="F15" s="105"/>
      <c r="G15" s="105"/>
    </row>
  </sheetData>
  <mergeCells count="4">
    <mergeCell ref="A1:G1"/>
    <mergeCell ref="A2:G2"/>
    <mergeCell ref="A3:G3"/>
    <mergeCell ref="A15:G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284A1-F0D6-45B8-B085-7D279629B8FD}">
  <dimension ref="A1:G11"/>
  <sheetViews>
    <sheetView workbookViewId="0">
      <selection activeCell="A7" sqref="A7"/>
    </sheetView>
  </sheetViews>
  <sheetFormatPr defaultRowHeight="15" x14ac:dyDescent="0.25"/>
  <cols>
    <col min="1" max="1" width="37.85546875" customWidth="1"/>
    <col min="2" max="7" width="11.140625" customWidth="1"/>
  </cols>
  <sheetData>
    <row r="1" spans="1:7" ht="18" x14ac:dyDescent="0.25">
      <c r="A1" s="106" t="s">
        <v>59</v>
      </c>
      <c r="B1" s="105"/>
      <c r="C1" s="105"/>
      <c r="D1" s="105"/>
      <c r="E1" s="105"/>
      <c r="F1" s="105"/>
      <c r="G1" s="105"/>
    </row>
    <row r="2" spans="1:7" ht="18" x14ac:dyDescent="0.25">
      <c r="A2" s="106" t="s">
        <v>203</v>
      </c>
      <c r="B2" s="105"/>
      <c r="C2" s="105"/>
      <c r="D2" s="105"/>
      <c r="E2" s="105"/>
      <c r="F2" s="105"/>
      <c r="G2" s="105"/>
    </row>
    <row r="3" spans="1:7" x14ac:dyDescent="0.25">
      <c r="A3" s="107" t="s">
        <v>234</v>
      </c>
      <c r="B3" s="105"/>
      <c r="C3" s="105"/>
      <c r="D3" s="105"/>
      <c r="E3" s="105"/>
      <c r="F3" s="105"/>
      <c r="G3" s="105"/>
    </row>
    <row r="5" spans="1:7" x14ac:dyDescent="0.25">
      <c r="A5" s="1"/>
      <c r="B5" s="83" t="s">
        <v>131</v>
      </c>
      <c r="C5" s="83" t="s">
        <v>130</v>
      </c>
      <c r="D5" s="83" t="s">
        <v>129</v>
      </c>
      <c r="E5" s="83" t="s">
        <v>128</v>
      </c>
      <c r="F5" s="83" t="s">
        <v>127</v>
      </c>
      <c r="G5" s="83" t="s">
        <v>0</v>
      </c>
    </row>
    <row r="6" spans="1:7" x14ac:dyDescent="0.25">
      <c r="A6" s="3" t="s">
        <v>208</v>
      </c>
      <c r="B6" s="5">
        <f>8333.34</f>
        <v>8333.34</v>
      </c>
      <c r="C6" s="2"/>
      <c r="D6" s="5">
        <f>4166.67</f>
        <v>4166.67</v>
      </c>
      <c r="E6" s="2"/>
      <c r="F6" s="2"/>
      <c r="G6" s="5">
        <f>((((B6)+(C6))+(D6))+(E6))+(F6)</f>
        <v>12500.01</v>
      </c>
    </row>
    <row r="7" spans="1:7" x14ac:dyDescent="0.25">
      <c r="A7" s="3" t="s">
        <v>126</v>
      </c>
      <c r="B7" s="4">
        <f>B6</f>
        <v>8333.34</v>
      </c>
      <c r="C7" s="4">
        <f>C6</f>
        <v>0</v>
      </c>
      <c r="D7" s="4">
        <f>D6</f>
        <v>4166.67</v>
      </c>
      <c r="E7" s="4">
        <f>E6</f>
        <v>0</v>
      </c>
      <c r="F7" s="4">
        <f>F6</f>
        <v>0</v>
      </c>
      <c r="G7" s="4">
        <f>((((B7)+(C7))+(D7))+(E7))+(F7)</f>
        <v>12500.01</v>
      </c>
    </row>
    <row r="8" spans="1:7" x14ac:dyDescent="0.25">
      <c r="A8" s="3"/>
      <c r="B8" s="2"/>
      <c r="C8" s="2"/>
      <c r="D8" s="2"/>
      <c r="E8" s="2"/>
      <c r="F8" s="2"/>
      <c r="G8" s="2"/>
    </row>
    <row r="11" spans="1:7" x14ac:dyDescent="0.25">
      <c r="A11" s="111" t="s">
        <v>239</v>
      </c>
      <c r="B11" s="105"/>
      <c r="C11" s="105"/>
      <c r="D11" s="105"/>
      <c r="E11" s="105"/>
      <c r="F11" s="105"/>
      <c r="G11" s="105"/>
    </row>
  </sheetData>
  <mergeCells count="4">
    <mergeCell ref="A1:G1"/>
    <mergeCell ref="A2:G2"/>
    <mergeCell ref="A3:G3"/>
    <mergeCell ref="A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Table</vt:lpstr>
      <vt:lpstr>Funds and Assets</vt:lpstr>
      <vt:lpstr>Statement of Financial Position</vt:lpstr>
      <vt:lpstr>Budget vs. Actuals</vt:lpstr>
      <vt:lpstr>L &amp; L Grinspoon</vt:lpstr>
      <vt:lpstr>A P Aging Summary</vt:lpstr>
      <vt:lpstr>AR Aging</vt:lpstr>
      <vt:lpstr>'Budget vs. Actuals'!Print_Titles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Joyce Kalstein</cp:lastModifiedBy>
  <cp:lastPrinted>2023-05-10T12:41:33Z</cp:lastPrinted>
  <dcterms:created xsi:type="dcterms:W3CDTF">2021-09-20T13:27:09Z</dcterms:created>
  <dcterms:modified xsi:type="dcterms:W3CDTF">2024-08-22T00:59:02Z</dcterms:modified>
</cp:coreProperties>
</file>