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4 2023.11.30 for December EC Meeting\"/>
    </mc:Choice>
  </mc:AlternateContent>
  <xr:revisionPtr revIDLastSave="0" documentId="8_{86729252-CFCC-46FB-833E-CC226442EB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ement of Financial Position" sheetId="1" r:id="rId1"/>
    <sheet name="Budget vs. Actuals" sheetId="2" r:id="rId2"/>
    <sheet name="L&amp;L Grinspoon" sheetId="3" r:id="rId3"/>
    <sheet name="A R Aging Summary" sheetId="4" r:id="rId4"/>
    <sheet name="A P Aging 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G6" i="5"/>
  <c r="C7" i="5"/>
  <c r="D7" i="5"/>
  <c r="G7" i="5" s="1"/>
  <c r="B8" i="5"/>
  <c r="C8" i="5"/>
  <c r="G8" i="5"/>
  <c r="B9" i="5"/>
  <c r="G9" i="5"/>
  <c r="B10" i="5"/>
  <c r="G10" i="5"/>
  <c r="D11" i="5"/>
  <c r="G11" i="5"/>
  <c r="C12" i="5"/>
  <c r="G12" i="5"/>
  <c r="B13" i="5"/>
  <c r="C13" i="5"/>
  <c r="E13" i="5"/>
  <c r="F13" i="5"/>
  <c r="B6" i="4"/>
  <c r="D6" i="4"/>
  <c r="E6" i="4"/>
  <c r="G6" i="4" s="1"/>
  <c r="F6" i="4"/>
  <c r="F7" i="4" s="1"/>
  <c r="B7" i="4"/>
  <c r="C7" i="4"/>
  <c r="D7" i="4"/>
  <c r="K7" i="3"/>
  <c r="L7" i="3" s="1"/>
  <c r="G8" i="3"/>
  <c r="K8" i="3"/>
  <c r="L8" i="3" s="1"/>
  <c r="K9" i="3"/>
  <c r="L9" i="3" s="1"/>
  <c r="G10" i="3"/>
  <c r="K10" i="3" s="1"/>
  <c r="L10" i="3" s="1"/>
  <c r="B11" i="3"/>
  <c r="C11" i="3"/>
  <c r="D11" i="3"/>
  <c r="E11" i="3"/>
  <c r="F11" i="3"/>
  <c r="G11" i="3"/>
  <c r="G13" i="3" s="1"/>
  <c r="H11" i="3"/>
  <c r="I11" i="3"/>
  <c r="J11" i="3"/>
  <c r="C12" i="3"/>
  <c r="K12" i="3"/>
  <c r="L12" i="3"/>
  <c r="B13" i="3"/>
  <c r="D13" i="3"/>
  <c r="E13" i="3"/>
  <c r="E15" i="3" s="1"/>
  <c r="E16" i="3" s="1"/>
  <c r="E54" i="3" s="1"/>
  <c r="E68" i="3" s="1"/>
  <c r="F13" i="3"/>
  <c r="H13" i="3"/>
  <c r="I13" i="3"/>
  <c r="I15" i="3" s="1"/>
  <c r="I16" i="3" s="1"/>
  <c r="J13" i="3"/>
  <c r="G14" i="3"/>
  <c r="K14" i="3" s="1"/>
  <c r="L14" i="3" s="1"/>
  <c r="B15" i="3"/>
  <c r="D15" i="3"/>
  <c r="F15" i="3"/>
  <c r="H15" i="3"/>
  <c r="J15" i="3"/>
  <c r="B16" i="3"/>
  <c r="D16" i="3"/>
  <c r="F16" i="3"/>
  <c r="H16" i="3"/>
  <c r="J16" i="3"/>
  <c r="C18" i="3"/>
  <c r="L18" i="3" s="1"/>
  <c r="K18" i="3"/>
  <c r="F19" i="3"/>
  <c r="F53" i="3" s="1"/>
  <c r="F54" i="3" s="1"/>
  <c r="H19" i="3"/>
  <c r="K19" i="3" s="1"/>
  <c r="L19" i="3" s="1"/>
  <c r="I19" i="3"/>
  <c r="I20" i="3"/>
  <c r="K20" i="3" s="1"/>
  <c r="L20" i="3" s="1"/>
  <c r="I21" i="3"/>
  <c r="K21" i="3" s="1"/>
  <c r="L21" i="3" s="1"/>
  <c r="C22" i="3"/>
  <c r="K22" i="3"/>
  <c r="L22" i="3" s="1"/>
  <c r="C23" i="3"/>
  <c r="J23" i="3"/>
  <c r="K23" i="3"/>
  <c r="L23" i="3" s="1"/>
  <c r="C24" i="3"/>
  <c r="K24" i="3"/>
  <c r="L24" i="3"/>
  <c r="K25" i="3"/>
  <c r="L25" i="3" s="1"/>
  <c r="C26" i="3"/>
  <c r="K26" i="3"/>
  <c r="L26" i="3" s="1"/>
  <c r="C27" i="3"/>
  <c r="I27" i="3"/>
  <c r="K27" i="3"/>
  <c r="L27" i="3" s="1"/>
  <c r="I28" i="3"/>
  <c r="K28" i="3" s="1"/>
  <c r="L28" i="3" s="1"/>
  <c r="C29" i="3"/>
  <c r="C30" i="3" s="1"/>
  <c r="I29" i="3"/>
  <c r="K29" i="3" s="1"/>
  <c r="L29" i="3" s="1"/>
  <c r="B30" i="3"/>
  <c r="L30" i="3" s="1"/>
  <c r="D30" i="3"/>
  <c r="E30" i="3"/>
  <c r="E53" i="3" s="1"/>
  <c r="F30" i="3"/>
  <c r="G30" i="3"/>
  <c r="H30" i="3"/>
  <c r="K30" i="3" s="1"/>
  <c r="I30" i="3"/>
  <c r="J30" i="3"/>
  <c r="K31" i="3"/>
  <c r="L31" i="3" s="1"/>
  <c r="C32" i="3"/>
  <c r="I32" i="3"/>
  <c r="K32" i="3"/>
  <c r="L32" i="3" s="1"/>
  <c r="I33" i="3"/>
  <c r="K33" i="3"/>
  <c r="L33" i="3"/>
  <c r="C34" i="3"/>
  <c r="L34" i="3" s="1"/>
  <c r="K34" i="3"/>
  <c r="B35" i="3"/>
  <c r="C35" i="3"/>
  <c r="D35" i="3"/>
  <c r="E35" i="3"/>
  <c r="F35" i="3"/>
  <c r="G35" i="3"/>
  <c r="H35" i="3"/>
  <c r="I35" i="3"/>
  <c r="J35" i="3"/>
  <c r="K35" i="3" s="1"/>
  <c r="K36" i="3"/>
  <c r="L36" i="3"/>
  <c r="J37" i="3"/>
  <c r="K37" i="3" s="1"/>
  <c r="L37" i="3" s="1"/>
  <c r="C38" i="3"/>
  <c r="C39" i="3" s="1"/>
  <c r="G38" i="3"/>
  <c r="G39" i="3" s="1"/>
  <c r="I38" i="3"/>
  <c r="B39" i="3"/>
  <c r="D39" i="3"/>
  <c r="E39" i="3"/>
  <c r="F39" i="3"/>
  <c r="H39" i="3"/>
  <c r="I39" i="3"/>
  <c r="J39" i="3"/>
  <c r="K40" i="3"/>
  <c r="L40" i="3" s="1"/>
  <c r="I41" i="3"/>
  <c r="K41" i="3"/>
  <c r="L41" i="3"/>
  <c r="C42" i="3"/>
  <c r="C47" i="3" s="1"/>
  <c r="K42" i="3"/>
  <c r="C43" i="3"/>
  <c r="L43" i="3" s="1"/>
  <c r="K43" i="3"/>
  <c r="I44" i="3"/>
  <c r="K44" i="3"/>
  <c r="L44" i="3" s="1"/>
  <c r="I45" i="3"/>
  <c r="K45" i="3"/>
  <c r="L45" i="3"/>
  <c r="C46" i="3"/>
  <c r="I46" i="3"/>
  <c r="K46" i="3"/>
  <c r="L46" i="3"/>
  <c r="B47" i="3"/>
  <c r="L47" i="3" s="1"/>
  <c r="D47" i="3"/>
  <c r="E47" i="3"/>
  <c r="F47" i="3"/>
  <c r="G47" i="3"/>
  <c r="H47" i="3"/>
  <c r="K47" i="3" s="1"/>
  <c r="I47" i="3"/>
  <c r="J47" i="3"/>
  <c r="K48" i="3"/>
  <c r="L48" i="3" s="1"/>
  <c r="C49" i="3"/>
  <c r="K49" i="3"/>
  <c r="L49" i="3"/>
  <c r="C50" i="3"/>
  <c r="C51" i="3" s="1"/>
  <c r="J50" i="3"/>
  <c r="K50" i="3"/>
  <c r="L50" i="3"/>
  <c r="B51" i="3"/>
  <c r="D51" i="3"/>
  <c r="E51" i="3"/>
  <c r="F51" i="3"/>
  <c r="G51" i="3"/>
  <c r="H51" i="3"/>
  <c r="K51" i="3" s="1"/>
  <c r="I51" i="3"/>
  <c r="J51" i="3"/>
  <c r="J52" i="3"/>
  <c r="K52" i="3" s="1"/>
  <c r="L52" i="3" s="1"/>
  <c r="D53" i="3"/>
  <c r="H53" i="3"/>
  <c r="D54" i="3"/>
  <c r="H54" i="3"/>
  <c r="B56" i="3"/>
  <c r="L56" i="3" s="1"/>
  <c r="D56" i="3"/>
  <c r="E56" i="3"/>
  <c r="F56" i="3"/>
  <c r="K56" i="3"/>
  <c r="K57" i="3"/>
  <c r="L57" i="3"/>
  <c r="D58" i="3"/>
  <c r="D62" i="3" s="1"/>
  <c r="D63" i="3" s="1"/>
  <c r="D67" i="3" s="1"/>
  <c r="E58" i="3"/>
  <c r="F58" i="3"/>
  <c r="K58" i="3"/>
  <c r="L58" i="3" s="1"/>
  <c r="D59" i="3"/>
  <c r="E59" i="3"/>
  <c r="L59" i="3" s="1"/>
  <c r="F59" i="3"/>
  <c r="F62" i="3" s="1"/>
  <c r="F63" i="3" s="1"/>
  <c r="F67" i="3" s="1"/>
  <c r="K59" i="3"/>
  <c r="D60" i="3"/>
  <c r="E60" i="3"/>
  <c r="L60" i="3" s="1"/>
  <c r="F60" i="3"/>
  <c r="K60" i="3"/>
  <c r="D61" i="3"/>
  <c r="E61" i="3"/>
  <c r="F61" i="3"/>
  <c r="K61" i="3"/>
  <c r="L61" i="3"/>
  <c r="B62" i="3"/>
  <c r="C62" i="3"/>
  <c r="E62" i="3"/>
  <c r="E63" i="3" s="1"/>
  <c r="E67" i="3" s="1"/>
  <c r="G62" i="3"/>
  <c r="H62" i="3"/>
  <c r="K62" i="3" s="1"/>
  <c r="I62" i="3"/>
  <c r="I63" i="3" s="1"/>
  <c r="I67" i="3" s="1"/>
  <c r="J62" i="3"/>
  <c r="B63" i="3"/>
  <c r="C63" i="3"/>
  <c r="C67" i="3" s="1"/>
  <c r="G63" i="3"/>
  <c r="G67" i="3" s="1"/>
  <c r="J63" i="3"/>
  <c r="J67" i="3" s="1"/>
  <c r="B65" i="3"/>
  <c r="B66" i="3" s="1"/>
  <c r="L66" i="3" s="1"/>
  <c r="D65" i="3"/>
  <c r="L65" i="3" s="1"/>
  <c r="E65" i="3"/>
  <c r="F65" i="3"/>
  <c r="G65" i="3"/>
  <c r="K65" i="3"/>
  <c r="C66" i="3"/>
  <c r="D66" i="3"/>
  <c r="E66" i="3"/>
  <c r="F66" i="3"/>
  <c r="G66" i="3"/>
  <c r="H66" i="3"/>
  <c r="K66" i="3" s="1"/>
  <c r="I66" i="3"/>
  <c r="J66" i="3"/>
  <c r="D11" i="2"/>
  <c r="E11" i="2"/>
  <c r="B12" i="2"/>
  <c r="D12" i="2" s="1"/>
  <c r="C12" i="2"/>
  <c r="D13" i="2"/>
  <c r="E13" i="2"/>
  <c r="B14" i="2"/>
  <c r="C14" i="2"/>
  <c r="D14" i="2"/>
  <c r="E14" i="2"/>
  <c r="B15" i="2"/>
  <c r="D15" i="2" s="1"/>
  <c r="C15" i="2"/>
  <c r="E15" i="2" s="1"/>
  <c r="B16" i="2"/>
  <c r="C16" i="2"/>
  <c r="D16" i="2"/>
  <c r="E16" i="2"/>
  <c r="B18" i="2"/>
  <c r="D18" i="2" s="1"/>
  <c r="E18" i="2"/>
  <c r="B22" i="2"/>
  <c r="D22" i="2" s="1"/>
  <c r="C22" i="2"/>
  <c r="C23" i="2"/>
  <c r="D23" i="2" s="1"/>
  <c r="C24" i="2"/>
  <c r="E24" i="2" s="1"/>
  <c r="B25" i="2"/>
  <c r="C25" i="2"/>
  <c r="B26" i="2"/>
  <c r="D26" i="2" s="1"/>
  <c r="C26" i="2"/>
  <c r="C27" i="2"/>
  <c r="D27" i="2"/>
  <c r="E27" i="2"/>
  <c r="B28" i="2"/>
  <c r="D28" i="2"/>
  <c r="E28" i="2"/>
  <c r="B29" i="2"/>
  <c r="C29" i="2"/>
  <c r="B30" i="2"/>
  <c r="C30" i="2"/>
  <c r="C31" i="2"/>
  <c r="D31" i="2" s="1"/>
  <c r="B32" i="2"/>
  <c r="C32" i="2"/>
  <c r="E32" i="2" s="1"/>
  <c r="C33" i="2"/>
  <c r="E33" i="2" s="1"/>
  <c r="D33" i="2"/>
  <c r="D34" i="2"/>
  <c r="E34" i="2"/>
  <c r="B35" i="2"/>
  <c r="D35" i="2" s="1"/>
  <c r="E35" i="2"/>
  <c r="B36" i="2"/>
  <c r="C36" i="2"/>
  <c r="C39" i="2" s="1"/>
  <c r="B37" i="2"/>
  <c r="C37" i="2"/>
  <c r="E37" i="2" s="1"/>
  <c r="B38" i="2"/>
  <c r="C38" i="2"/>
  <c r="D40" i="2"/>
  <c r="E40" i="2"/>
  <c r="B41" i="2"/>
  <c r="C41" i="2"/>
  <c r="C44" i="2" s="1"/>
  <c r="E44" i="2" s="1"/>
  <c r="B42" i="2"/>
  <c r="D42" i="2" s="1"/>
  <c r="C42" i="2"/>
  <c r="B43" i="2"/>
  <c r="C43" i="2"/>
  <c r="D43" i="2" s="1"/>
  <c r="B44" i="2"/>
  <c r="D45" i="2"/>
  <c r="E45" i="2"/>
  <c r="B46" i="2"/>
  <c r="D46" i="2"/>
  <c r="E46" i="2"/>
  <c r="B47" i="2"/>
  <c r="C47" i="2"/>
  <c r="D47" i="2"/>
  <c r="C48" i="2"/>
  <c r="D49" i="2"/>
  <c r="E49" i="2"/>
  <c r="B50" i="2"/>
  <c r="C50" i="2"/>
  <c r="B51" i="2"/>
  <c r="C51" i="2"/>
  <c r="B52" i="2"/>
  <c r="D52" i="2" s="1"/>
  <c r="C52" i="2"/>
  <c r="B53" i="2"/>
  <c r="E53" i="2" s="1"/>
  <c r="C53" i="2"/>
  <c r="B54" i="2"/>
  <c r="C54" i="2"/>
  <c r="B55" i="2"/>
  <c r="C55" i="2"/>
  <c r="B56" i="2"/>
  <c r="D57" i="2"/>
  <c r="E57" i="2"/>
  <c r="B58" i="2"/>
  <c r="D58" i="2" s="1"/>
  <c r="C58" i="2"/>
  <c r="B59" i="2"/>
  <c r="C59" i="2"/>
  <c r="E59" i="2" s="1"/>
  <c r="C60" i="2"/>
  <c r="D60" i="2" s="1"/>
  <c r="E60" i="2"/>
  <c r="C61" i="2"/>
  <c r="D61" i="2" s="1"/>
  <c r="B63" i="2"/>
  <c r="D63" i="2" s="1"/>
  <c r="E63" i="2"/>
  <c r="B67" i="2"/>
  <c r="D67" i="2" s="1"/>
  <c r="E67" i="2"/>
  <c r="D68" i="2"/>
  <c r="E68" i="2"/>
  <c r="B69" i="2"/>
  <c r="D69" i="2" s="1"/>
  <c r="E69" i="2"/>
  <c r="B70" i="2"/>
  <c r="D70" i="2" s="1"/>
  <c r="E70" i="2"/>
  <c r="B71" i="2"/>
  <c r="D71" i="2"/>
  <c r="E71" i="2"/>
  <c r="B72" i="2"/>
  <c r="D72" i="2" s="1"/>
  <c r="E72" i="2"/>
  <c r="C73" i="2"/>
  <c r="E73" i="2" s="1"/>
  <c r="B76" i="2"/>
  <c r="D76" i="2" s="1"/>
  <c r="E76" i="2"/>
  <c r="C77" i="2"/>
  <c r="E77" i="2" s="1"/>
  <c r="C63" i="1"/>
  <c r="B63" i="1"/>
  <c r="C62" i="1"/>
  <c r="B62" i="1"/>
  <c r="C61" i="1"/>
  <c r="B61" i="1"/>
  <c r="C60" i="1"/>
  <c r="B60" i="1"/>
  <c r="B64" i="1" s="1"/>
  <c r="C59" i="1"/>
  <c r="C64" i="1" s="1"/>
  <c r="B59" i="1"/>
  <c r="C54" i="1"/>
  <c r="B54" i="1"/>
  <c r="C53" i="1"/>
  <c r="B53" i="1"/>
  <c r="B55" i="1" s="1"/>
  <c r="C52" i="1"/>
  <c r="C55" i="1" s="1"/>
  <c r="B52" i="1"/>
  <c r="B50" i="1"/>
  <c r="B56" i="1" s="1"/>
  <c r="B57" i="1" s="1"/>
  <c r="C49" i="1"/>
  <c r="C50" i="1" s="1"/>
  <c r="B49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C37" i="1" s="1"/>
  <c r="B35" i="1"/>
  <c r="B37" i="1" s="1"/>
  <c r="C33" i="1"/>
  <c r="B33" i="1"/>
  <c r="C32" i="1"/>
  <c r="B32" i="1"/>
  <c r="C31" i="1"/>
  <c r="B31" i="1"/>
  <c r="C30" i="1"/>
  <c r="C34" i="1" s="1"/>
  <c r="C43" i="1" s="1"/>
  <c r="B30" i="1"/>
  <c r="B34" i="1" s="1"/>
  <c r="B43" i="1" s="1"/>
  <c r="C26" i="1"/>
  <c r="B26" i="1"/>
  <c r="C25" i="1"/>
  <c r="C27" i="1" s="1"/>
  <c r="C28" i="1" s="1"/>
  <c r="B25" i="1"/>
  <c r="B27" i="1" s="1"/>
  <c r="B28" i="1" s="1"/>
  <c r="B22" i="1"/>
  <c r="C21" i="1"/>
  <c r="C22" i="1" s="1"/>
  <c r="B21" i="1"/>
  <c r="B19" i="1"/>
  <c r="C18" i="1"/>
  <c r="C19" i="1" s="1"/>
  <c r="B18" i="1"/>
  <c r="B16" i="1"/>
  <c r="B23" i="1" s="1"/>
  <c r="B44" i="1" s="1"/>
  <c r="B15" i="1"/>
  <c r="C14" i="1"/>
  <c r="B14" i="1"/>
  <c r="C13" i="1"/>
  <c r="B13" i="1"/>
  <c r="C12" i="1"/>
  <c r="B12" i="1"/>
  <c r="C11" i="1"/>
  <c r="B11" i="1"/>
  <c r="C10" i="1"/>
  <c r="C16" i="1" s="1"/>
  <c r="C23" i="1" s="1"/>
  <c r="B10" i="1"/>
  <c r="E47" i="2" l="1"/>
  <c r="E43" i="2"/>
  <c r="D41" i="2"/>
  <c r="D36" i="2"/>
  <c r="D24" i="2"/>
  <c r="D59" i="2"/>
  <c r="C56" i="2"/>
  <c r="E56" i="2" s="1"/>
  <c r="E58" i="2"/>
  <c r="E42" i="2"/>
  <c r="E38" i="2"/>
  <c r="C74" i="2"/>
  <c r="C78" i="2" s="1"/>
  <c r="E78" i="2" s="1"/>
  <c r="B48" i="2"/>
  <c r="D48" i="2" s="1"/>
  <c r="E41" i="2"/>
  <c r="E25" i="2"/>
  <c r="E12" i="2"/>
  <c r="D44" i="2"/>
  <c r="B62" i="2"/>
  <c r="E74" i="2"/>
  <c r="E61" i="2"/>
  <c r="D55" i="2"/>
  <c r="E51" i="2"/>
  <c r="D30" i="2"/>
  <c r="D54" i="2"/>
  <c r="D38" i="2"/>
  <c r="D50" i="2"/>
  <c r="E29" i="2"/>
  <c r="E26" i="2"/>
  <c r="D37" i="2"/>
  <c r="B73" i="2"/>
  <c r="E36" i="2"/>
  <c r="D25" i="2"/>
  <c r="D32" i="2"/>
  <c r="D13" i="5"/>
  <c r="G13" i="5" s="1"/>
  <c r="E7" i="4"/>
  <c r="G7" i="4" s="1"/>
  <c r="D68" i="3"/>
  <c r="I54" i="3"/>
  <c r="I68" i="3" s="1"/>
  <c r="K13" i="3"/>
  <c r="G15" i="3"/>
  <c r="B67" i="3"/>
  <c r="K39" i="3"/>
  <c r="G53" i="3"/>
  <c r="K53" i="3" s="1"/>
  <c r="C53" i="3"/>
  <c r="F68" i="3"/>
  <c r="L51" i="3"/>
  <c r="L39" i="3"/>
  <c r="L62" i="3"/>
  <c r="L35" i="3"/>
  <c r="J53" i="3"/>
  <c r="J54" i="3" s="1"/>
  <c r="J68" i="3" s="1"/>
  <c r="B53" i="3"/>
  <c r="L42" i="3"/>
  <c r="K38" i="3"/>
  <c r="L38" i="3" s="1"/>
  <c r="K11" i="3"/>
  <c r="L11" i="3" s="1"/>
  <c r="H63" i="3"/>
  <c r="I53" i="3"/>
  <c r="C13" i="3"/>
  <c r="E48" i="2"/>
  <c r="B77" i="2"/>
  <c r="D77" i="2" s="1"/>
  <c r="E55" i="2"/>
  <c r="E54" i="2"/>
  <c r="E52" i="2"/>
  <c r="E50" i="2"/>
  <c r="E30" i="2"/>
  <c r="E22" i="2"/>
  <c r="D53" i="2"/>
  <c r="D51" i="2"/>
  <c r="E31" i="2"/>
  <c r="D29" i="2"/>
  <c r="E23" i="2"/>
  <c r="C17" i="2"/>
  <c r="B39" i="2"/>
  <c r="D39" i="2" s="1"/>
  <c r="C62" i="2"/>
  <c r="B17" i="2"/>
  <c r="C44" i="1"/>
  <c r="C56" i="1"/>
  <c r="C57" i="1" s="1"/>
  <c r="C65" i="1" s="1"/>
  <c r="B65" i="1"/>
  <c r="D62" i="2" l="1"/>
  <c r="D56" i="2"/>
  <c r="D73" i="2"/>
  <c r="B74" i="2"/>
  <c r="K63" i="3"/>
  <c r="L63" i="3" s="1"/>
  <c r="H67" i="3"/>
  <c r="G16" i="3"/>
  <c r="K15" i="3"/>
  <c r="L13" i="3"/>
  <c r="C15" i="3"/>
  <c r="L53" i="3"/>
  <c r="B54" i="3"/>
  <c r="B64" i="2"/>
  <c r="C19" i="2"/>
  <c r="E17" i="2"/>
  <c r="D17" i="2"/>
  <c r="B19" i="2"/>
  <c r="E62" i="2"/>
  <c r="C64" i="2"/>
  <c r="E39" i="2"/>
  <c r="D74" i="2" l="1"/>
  <c r="B78" i="2"/>
  <c r="D78" i="2" s="1"/>
  <c r="E64" i="2"/>
  <c r="K16" i="3"/>
  <c r="G54" i="3"/>
  <c r="H68" i="3"/>
  <c r="K67" i="3"/>
  <c r="L67" i="3" s="1"/>
  <c r="L15" i="3"/>
  <c r="C16" i="3"/>
  <c r="B68" i="3"/>
  <c r="C20" i="2"/>
  <c r="E19" i="2"/>
  <c r="D19" i="2"/>
  <c r="B20" i="2"/>
  <c r="D64" i="2"/>
  <c r="L16" i="3" l="1"/>
  <c r="C54" i="3"/>
  <c r="G68" i="3"/>
  <c r="K68" i="3" s="1"/>
  <c r="K54" i="3"/>
  <c r="B65" i="2"/>
  <c r="D20" i="2"/>
  <c r="E20" i="2"/>
  <c r="C65" i="2"/>
  <c r="C68" i="3" l="1"/>
  <c r="L68" i="3" s="1"/>
  <c r="L54" i="3"/>
  <c r="E65" i="2"/>
  <c r="C79" i="2"/>
  <c r="D65" i="2"/>
  <c r="B79" i="2"/>
  <c r="D79" i="2" s="1"/>
  <c r="E79" i="2" l="1"/>
</calcChain>
</file>

<file path=xl/sharedStrings.xml><?xml version="1.0" encoding="utf-8"?>
<sst xmlns="http://schemas.openxmlformats.org/spreadsheetml/2006/main" count="256" uniqueCount="175">
  <si>
    <t>Total</t>
  </si>
  <si>
    <t>As of Nov 30, 2023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</si>
  <si>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</si>
  <si>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</si>
  <si>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</si>
  <si>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</si>
  <si>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</si>
  <si>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</si>
  <si>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</si>
  <si>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</si>
  <si>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   10060 Northfield Divestment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</si>
  <si>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</si>
  <si>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</si>
  <si>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</si>
  <si>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</si>
  <si>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</si>
  <si>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</si>
  <si>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</si>
  <si>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</si>
  <si>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</si>
  <si>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</si>
  <si>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</si>
  <si>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</si>
  <si>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</si>
  <si>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</si>
  <si>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</si>
  <si>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</si>
  <si>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</si>
  <si>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</si>
  <si>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</si>
  <si>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</si>
  <si>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</si>
  <si>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</si>
  <si>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</si>
  <si>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</si>
  <si>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</si>
  <si>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</si>
  <si>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</si>
  <si>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</si>
  <si>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</si>
  <si>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</si>
  <si>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</si>
  <si>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</si>
  <si>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</si>
  <si>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</si>
  <si>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</si>
  <si>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</si>
  <si>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</si>
  <si>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</si>
  <si>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</si>
  <si>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</si>
  <si>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</si>
  <si>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</si>
  <si>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</si>
  <si>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</si>
  <si>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</si>
  <si>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</si>
  <si>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</si>
  <si>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</si>
  <si>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</si>
  <si>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</si>
  <si>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Tuesday, Dec 19, 2023 10:17:47 AM GMT-8 - Accrual Basis</t>
  </si>
  <si>
    <t>Jewish Community Foundation of Greater Mercer</t>
  </si>
  <si>
    <t>Statement of Financial Position</t>
  </si>
  <si>
    <t>As of November 30, 2023</t>
  </si>
  <si>
    <t>As of Nov 30, 2022</t>
  </si>
  <si>
    <t>As of November 30, 2023 and 2022</t>
  </si>
  <si>
    <t>For Management use Only</t>
  </si>
  <si>
    <t>Tuesday, Dec 19, 2023 10:19:29 AM GMT-8 - Accrual Basis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</si>
  <si>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</si>
  <si>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</si>
  <si>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</si>
  <si>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</si>
  <si>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</si>
  <si>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</si>
  <si>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</si>
  <si>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</si>
  <si>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</si>
  <si>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45300 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</si>
  <si>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</si>
  <si>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</si>
  <si>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</si>
  <si>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</si>
  <si>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</si>
  <si>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</si>
  <si>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Scholarship Awards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</si>
  <si>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</si>
  <si>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</si>
  <si>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</si>
  <si>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</si>
  <si>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   68311 Training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</si>
  <si>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</si>
  <si>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</si>
  <si>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</si>
  <si>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</si>
  <si>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</si>
  <si>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</si>
  <si>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</si>
  <si>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</si>
  <si>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</si>
  <si>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</si>
  <si>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</si>
  <si>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</si>
  <si>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</si>
  <si>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</si>
  <si>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</si>
  <si>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</si>
  <si>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</si>
  <si>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</si>
  <si>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</si>
  <si>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</si>
  <si>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</si>
  <si>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</si>
  <si>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</si>
  <si>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</si>
  <si>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</si>
  <si>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</si>
  <si>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</si>
  <si>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60009 Third Party Processing Fee</t>
  </si>
  <si>
    <t xml:space="preserve">   60008 Advertising/Promotional</t>
  </si>
  <si>
    <t xml:space="preserve">   60004 JCC/Ewing Property</t>
  </si>
  <si>
    <t xml:space="preserve">   60003 Promotional Material</t>
  </si>
  <si>
    <t xml:space="preserve">   60002 Rent</t>
  </si>
  <si>
    <t xml:space="preserve">   60001 Bank Fees</t>
  </si>
  <si>
    <t xml:space="preserve">   60000.2 JFedShaw Grinspoon Grant</t>
  </si>
  <si>
    <t xml:space="preserve">   60000.1 Incentive Grants</t>
  </si>
  <si>
    <t xml:space="preserve">   60000 L&amp;L Event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</si>
  <si>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</si>
  <si>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</si>
  <si>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</si>
  <si>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</si>
  <si>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</si>
  <si>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43450 L&amp;L HGF Grant</t>
  </si>
  <si>
    <t xml:space="preserve">      Total 43440 Fee Income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</si>
  <si>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</si>
  <si>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</si>
  <si>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</si>
  <si>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</si>
  <si>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</si>
  <si>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</si>
  <si>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</si>
  <si>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</si>
  <si>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</si>
  <si>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July - November, 2023</t>
  </si>
  <si>
    <t xml:space="preserve">Budget vs. Actuals: Budget_FY24_P&amp;L - FY24 P&amp;L </t>
  </si>
  <si>
    <t>Tuesday, Dec 19, 2023 10:20:39 AM GMT-8 - Accrual Basis</t>
  </si>
  <si>
    <t>TOTAL</t>
  </si>
  <si>
    <t>Operating</t>
  </si>
  <si>
    <t>Prog. Svs. Exp.</t>
  </si>
  <si>
    <t>Mgmt &amp; Gen.</t>
  </si>
  <si>
    <t>Fundraising</t>
  </si>
  <si>
    <t>Unrestricted Funds</t>
  </si>
  <si>
    <t>Unrestricted DAF</t>
  </si>
  <si>
    <t>Temporarily restricted</t>
  </si>
  <si>
    <t>Permanently restricted</t>
  </si>
  <si>
    <t>Life and Legacy Grinspoon</t>
  </si>
  <si>
    <t>Custodial</t>
  </si>
  <si>
    <t>Statement of Activity by Class</t>
  </si>
  <si>
    <t>Tuesday, Dec 19, 2023 10:22:13 AM GMT-8</t>
  </si>
  <si>
    <t>Grinspoon Foundation</t>
  </si>
  <si>
    <t>91 and over</t>
  </si>
  <si>
    <t>61 - 90</t>
  </si>
  <si>
    <t>31 - 60</t>
  </si>
  <si>
    <t>1 - 30</t>
  </si>
  <si>
    <t>Current</t>
  </si>
  <si>
    <t>A/R Aging Summary</t>
  </si>
  <si>
    <t>Tuesday, Dec 19, 2023 10:22:42 AM GMT-8</t>
  </si>
  <si>
    <t>The Jewish Center (v)</t>
  </si>
  <si>
    <t>Stark &amp; Stark</t>
  </si>
  <si>
    <t>Norma Shirk</t>
  </si>
  <si>
    <t>Non-profit Accounting Solutions, LLC</t>
  </si>
  <si>
    <t>Netcentric IT Management, Inc.</t>
  </si>
  <si>
    <t>Marisa Reingle</t>
  </si>
  <si>
    <t>Fiduciary Technology Partners, LLC</t>
  </si>
  <si>
    <t>A/P Aging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</si>
</sst>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\ _€"/>
    <numFmt numFmtId="165" formatCode="&quot;$&quot;* #,##0.00\ _€"/>
  </numFmts>
  <fonts count="13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3" fontId="1" fillId="0" borderId="1" xfId="1" applyFont="1" applyBorder="1" applyAlignment="1">
      <alignment horizontal="center" wrapText="1"/>
    </xf>
    <xf numFmtId="43" fontId="3" fillId="0" borderId="0" xfId="1" applyFont="1" applyAlignment="1">
      <alignment wrapText="1"/>
    </xf>
    <xf numFmtId="43" fontId="3" fillId="0" borderId="0" xfId="1" applyFont="1" applyAlignment="1">
      <alignment horizontal="right" wrapText="1"/>
    </xf>
    <xf numFmtId="43" fontId="2" fillId="0" borderId="2" xfId="1" applyFont="1" applyBorder="1" applyAlignment="1">
      <alignment horizontal="right" wrapText="1"/>
    </xf>
    <xf numFmtId="43" fontId="2" fillId="0" borderId="3" xfId="1" applyFont="1" applyBorder="1" applyAlignment="1">
      <alignment horizontal="right" wrapText="1"/>
    </xf>
    <xf numFmtId="43" fontId="0" fillId="0" borderId="0" xfId="1" applyFont="1"/>
    <xf numFmtId="164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0" fontId="9" fillId="0" borderId="0" xfId="0" applyFont="1" applyAlignment="1">
      <alignment horizontal="left" wrapText="1"/>
    </xf>
    <xf numFmtId="10" fontId="9" fillId="0" borderId="3" xfId="0" applyNumberFormat="1" applyFont="1" applyBorder="1" applyAlignment="1">
      <alignment horizontal="right" wrapText="1"/>
    </xf>
    <xf numFmtId="43" fontId="9" fillId="0" borderId="3" xfId="1" applyFont="1" applyBorder="1" applyAlignment="1">
      <alignment horizontal="right" wrapText="1"/>
    </xf>
    <xf numFmtId="10" fontId="8" fillId="0" borderId="0" xfId="0" applyNumberFormat="1" applyFont="1" applyAlignment="1">
      <alignment horizontal="right" wrapText="1"/>
    </xf>
    <xf numFmtId="43" fontId="8" fillId="0" borderId="0" xfId="1" applyFont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43" fontId="10" fillId="0" borderId="1" xfId="1" applyFont="1" applyBorder="1" applyAlignment="1">
      <alignment horizontal="center" wrapText="1"/>
    </xf>
    <xf numFmtId="165" fontId="9" fillId="0" borderId="3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43" fontId="10" fillId="0" borderId="0" xfId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43" fontId="1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abSelected="1" topLeftCell="A50" workbookViewId="0">
      <selection activeCell="A54" sqref="A54"/>
    </sheetView>
  </sheetViews>
  <sheetFormatPr defaultRowHeight="15" x14ac:dyDescent="0.25"/>
  <cols>
    <col min="1" max="1" width="43.85546875" customWidth="1"/>
    <col min="2" max="3" width="16" style="8" bestFit="1" customWidth="1"/>
  </cols>
  <sheetData>
    <row r="1" spans="1:3" ht="18" x14ac:dyDescent="0.25">
      <c r="A1" s="26" t="s">
        <v>62</v>
      </c>
      <c r="B1" s="25"/>
      <c r="C1" s="25"/>
    </row>
    <row r="2" spans="1:3" ht="18" x14ac:dyDescent="0.25">
      <c r="A2" s="26" t="s">
        <v>63</v>
      </c>
      <c r="B2" s="25"/>
      <c r="C2" s="25"/>
    </row>
    <row r="3" spans="1:3" x14ac:dyDescent="0.25">
      <c r="A3" s="27" t="s">
        <v>66</v>
      </c>
      <c r="B3" s="25"/>
      <c r="C3" s="25"/>
    </row>
    <row r="5" spans="1:3" x14ac:dyDescent="0.25">
      <c r="A5" s="1"/>
      <c r="B5" s="22" t="s">
        <v>0</v>
      </c>
      <c r="C5" s="23"/>
    </row>
    <row r="6" spans="1:3" ht="24.75" x14ac:dyDescent="0.25">
      <c r="A6" s="1"/>
      <c r="B6" s="3" t="s">
        <v>1</v>
      </c>
      <c r="C6" s="3" t="s">
        <v>65</v>
      </c>
    </row>
    <row r="7" spans="1:3" x14ac:dyDescent="0.25">
      <c r="A7" s="2" t="s">
        <v>2</v>
      </c>
      <c r="B7" s="4"/>
      <c r="C7" s="4"/>
    </row>
    <row r="8" spans="1:3" x14ac:dyDescent="0.25">
      <c r="A8" s="2" t="s">
        <v>3</v>
      </c>
      <c r="B8" s="4"/>
      <c r="C8" s="4"/>
    </row>
    <row r="9" spans="1:3" x14ac:dyDescent="0.25">
      <c r="A9" s="2" t="s">
        <v>4</v>
      </c>
      <c r="B9" s="4"/>
      <c r="C9" s="4"/>
    </row>
    <row r="10" spans="1:3" x14ac:dyDescent="0.25">
      <c r="A10" s="2" t="s">
        <v>5</v>
      </c>
      <c r="B10" s="5">
        <f>0</f>
        <v>0</v>
      </c>
      <c r="C10" s="5">
        <f>0</f>
        <v>0</v>
      </c>
    </row>
    <row r="11" spans="1:3" x14ac:dyDescent="0.25">
      <c r="A11" s="2" t="s">
        <v>6</v>
      </c>
      <c r="B11" s="5">
        <f>270.6</f>
        <v>270.60000000000002</v>
      </c>
      <c r="C11" s="5">
        <f>5056.66</f>
        <v>5056.66</v>
      </c>
    </row>
    <row r="12" spans="1:3" x14ac:dyDescent="0.25">
      <c r="A12" s="2" t="s">
        <v>7</v>
      </c>
      <c r="B12" s="5">
        <f>6935.55</f>
        <v>6935.55</v>
      </c>
      <c r="C12" s="5">
        <f>5863.94</f>
        <v>5863.94</v>
      </c>
    </row>
    <row r="13" spans="1:3" x14ac:dyDescent="0.25">
      <c r="A13" s="2" t="s">
        <v>8</v>
      </c>
      <c r="B13" s="5">
        <f>10423.35</f>
        <v>10423.35</v>
      </c>
      <c r="C13" s="5">
        <f>7070.56</f>
        <v>7070.56</v>
      </c>
    </row>
    <row r="14" spans="1:3" x14ac:dyDescent="0.25">
      <c r="A14" s="2" t="s">
        <v>9</v>
      </c>
      <c r="B14" s="5">
        <f>331.65</f>
        <v>331.65</v>
      </c>
      <c r="C14" s="5">
        <f>11318.13</f>
        <v>11318.13</v>
      </c>
    </row>
    <row r="15" spans="1:3" x14ac:dyDescent="0.25">
      <c r="A15" s="2" t="s">
        <v>10</v>
      </c>
      <c r="B15" s="5">
        <f>102.28</f>
        <v>102.28</v>
      </c>
      <c r="C15" s="4"/>
    </row>
    <row r="16" spans="1:3" x14ac:dyDescent="0.25">
      <c r="A16" s="2" t="s">
        <v>11</v>
      </c>
      <c r="B16" s="6">
        <f>(((((B10)+(B11))+(B12))+(B13))+(B14))+(B15)</f>
        <v>18063.43</v>
      </c>
      <c r="C16" s="6">
        <f>(((((C10)+(C11))+(C12))+(C13))+(C14))+(C15)</f>
        <v>29309.29</v>
      </c>
    </row>
    <row r="17" spans="1:3" x14ac:dyDescent="0.25">
      <c r="A17" s="2" t="s">
        <v>12</v>
      </c>
      <c r="B17" s="4"/>
      <c r="C17" s="4"/>
    </row>
    <row r="18" spans="1:3" x14ac:dyDescent="0.25">
      <c r="A18" s="2" t="s">
        <v>13</v>
      </c>
      <c r="B18" s="5">
        <f>20833.35</f>
        <v>20833.349999999999</v>
      </c>
      <c r="C18" s="5">
        <f>16666.7</f>
        <v>16666.7</v>
      </c>
    </row>
    <row r="19" spans="1:3" x14ac:dyDescent="0.25">
      <c r="A19" s="2" t="s">
        <v>14</v>
      </c>
      <c r="B19" s="6">
        <f>B18</f>
        <v>20833.349999999999</v>
      </c>
      <c r="C19" s="6">
        <f>C18</f>
        <v>16666.7</v>
      </c>
    </row>
    <row r="20" spans="1:3" x14ac:dyDescent="0.25">
      <c r="A20" s="2" t="s">
        <v>15</v>
      </c>
      <c r="B20" s="4"/>
      <c r="C20" s="4"/>
    </row>
    <row r="21" spans="1:3" x14ac:dyDescent="0.25">
      <c r="A21" s="2" t="s">
        <v>16</v>
      </c>
      <c r="B21" s="5">
        <f>0</f>
        <v>0</v>
      </c>
      <c r="C21" s="5">
        <f>0</f>
        <v>0</v>
      </c>
    </row>
    <row r="22" spans="1:3" x14ac:dyDescent="0.25">
      <c r="A22" s="2" t="s">
        <v>17</v>
      </c>
      <c r="B22" s="6">
        <f>B21</f>
        <v>0</v>
      </c>
      <c r="C22" s="6">
        <f>C21</f>
        <v>0</v>
      </c>
    </row>
    <row r="23" spans="1:3" x14ac:dyDescent="0.25">
      <c r="A23" s="2" t="s">
        <v>18</v>
      </c>
      <c r="B23" s="6">
        <f>((B16)+(B19))+(B22)</f>
        <v>38896.78</v>
      </c>
      <c r="C23" s="6">
        <f>((C16)+(C19))+(C22)</f>
        <v>45975.990000000005</v>
      </c>
    </row>
    <row r="24" spans="1:3" x14ac:dyDescent="0.25">
      <c r="A24" s="2" t="s">
        <v>19</v>
      </c>
      <c r="B24" s="4"/>
      <c r="C24" s="4"/>
    </row>
    <row r="25" spans="1:3" x14ac:dyDescent="0.25">
      <c r="A25" s="2" t="s">
        <v>20</v>
      </c>
      <c r="B25" s="5">
        <f>12328.97</f>
        <v>12328.97</v>
      </c>
      <c r="C25" s="5">
        <f>2328.97</f>
        <v>2328.9699999999998</v>
      </c>
    </row>
    <row r="26" spans="1:3" x14ac:dyDescent="0.25">
      <c r="A26" s="2" t="s">
        <v>21</v>
      </c>
      <c r="B26" s="5">
        <f>-2328.97</f>
        <v>-2328.9699999999998</v>
      </c>
      <c r="C26" s="5">
        <f>-1875.89</f>
        <v>-1875.89</v>
      </c>
    </row>
    <row r="27" spans="1:3" x14ac:dyDescent="0.25">
      <c r="A27" s="2" t="s">
        <v>22</v>
      </c>
      <c r="B27" s="6">
        <f>(B25)+(B26)</f>
        <v>10000</v>
      </c>
      <c r="C27" s="6">
        <f>(C25)+(C26)</f>
        <v>453.0799999999997</v>
      </c>
    </row>
    <row r="28" spans="1:3" x14ac:dyDescent="0.25">
      <c r="A28" s="2" t="s">
        <v>23</v>
      </c>
      <c r="B28" s="6">
        <f>B27</f>
        <v>10000</v>
      </c>
      <c r="C28" s="6">
        <f>C27</f>
        <v>453.0799999999997</v>
      </c>
    </row>
    <row r="29" spans="1:3" x14ac:dyDescent="0.25">
      <c r="A29" s="2" t="s">
        <v>24</v>
      </c>
      <c r="B29" s="4"/>
      <c r="C29" s="4"/>
    </row>
    <row r="30" spans="1:3" x14ac:dyDescent="0.25">
      <c r="A30" s="2" t="s">
        <v>25</v>
      </c>
      <c r="B30" s="5">
        <f>0</f>
        <v>0</v>
      </c>
      <c r="C30" s="5">
        <f>0</f>
        <v>0</v>
      </c>
    </row>
    <row r="31" spans="1:3" x14ac:dyDescent="0.25">
      <c r="A31" s="2" t="s">
        <v>26</v>
      </c>
      <c r="B31" s="5">
        <f>10211613.7</f>
        <v>10211613.699999999</v>
      </c>
      <c r="C31" s="5">
        <f>9633665.38</f>
        <v>9633665.3800000008</v>
      </c>
    </row>
    <row r="32" spans="1:3" x14ac:dyDescent="0.25">
      <c r="A32" s="2" t="s">
        <v>27</v>
      </c>
      <c r="B32" s="5">
        <f>5162951.23</f>
        <v>5162951.2300000004</v>
      </c>
      <c r="C32" s="5">
        <f>4151649.44</f>
        <v>4151649.44</v>
      </c>
    </row>
    <row r="33" spans="1:3" x14ac:dyDescent="0.25">
      <c r="A33" s="2" t="s">
        <v>28</v>
      </c>
      <c r="B33" s="5">
        <f>6767.37</f>
        <v>6767.37</v>
      </c>
      <c r="C33" s="5">
        <f>6767.37</f>
        <v>6767.37</v>
      </c>
    </row>
    <row r="34" spans="1:3" x14ac:dyDescent="0.25">
      <c r="A34" s="2" t="s">
        <v>29</v>
      </c>
      <c r="B34" s="6">
        <f>(((B30)+(B31))+(B32))+(B33)</f>
        <v>15381332.299999999</v>
      </c>
      <c r="C34" s="6">
        <f>(((C30)+(C31))+(C32))+(C33)</f>
        <v>13792082.189999999</v>
      </c>
    </row>
    <row r="35" spans="1:3" x14ac:dyDescent="0.25">
      <c r="A35" s="2" t="s">
        <v>30</v>
      </c>
      <c r="B35" s="5">
        <f>-2329</f>
        <v>-2329</v>
      </c>
      <c r="C35" s="5">
        <f>-2329</f>
        <v>-2329</v>
      </c>
    </row>
    <row r="36" spans="1:3" x14ac:dyDescent="0.25">
      <c r="A36" s="2" t="s">
        <v>31</v>
      </c>
      <c r="B36" s="5">
        <f>1876</f>
        <v>1876</v>
      </c>
      <c r="C36" s="5">
        <f>1876</f>
        <v>1876</v>
      </c>
    </row>
    <row r="37" spans="1:3" x14ac:dyDescent="0.25">
      <c r="A37" s="2" t="s">
        <v>32</v>
      </c>
      <c r="B37" s="6">
        <f>(B35)+(B36)</f>
        <v>-453</v>
      </c>
      <c r="C37" s="6">
        <f>(C35)+(C36)</f>
        <v>-453</v>
      </c>
    </row>
    <row r="38" spans="1:3" x14ac:dyDescent="0.25">
      <c r="A38" s="2" t="s">
        <v>33</v>
      </c>
      <c r="B38" s="5">
        <f>70214.89</f>
        <v>70214.89</v>
      </c>
      <c r="C38" s="5">
        <f>70214.89</f>
        <v>70214.89</v>
      </c>
    </row>
    <row r="39" spans="1:3" x14ac:dyDescent="0.25">
      <c r="A39" s="2" t="s">
        <v>34</v>
      </c>
      <c r="B39" s="5">
        <f>4399.69</f>
        <v>4399.6899999999996</v>
      </c>
      <c r="C39" s="5">
        <f>4399.69</f>
        <v>4399.6899999999996</v>
      </c>
    </row>
    <row r="40" spans="1:3" x14ac:dyDescent="0.25">
      <c r="A40" s="2" t="s">
        <v>35</v>
      </c>
      <c r="B40" s="5">
        <f>0</f>
        <v>0</v>
      </c>
      <c r="C40" s="5">
        <f>0</f>
        <v>0</v>
      </c>
    </row>
    <row r="41" spans="1:3" x14ac:dyDescent="0.25">
      <c r="A41" s="2" t="s">
        <v>36</v>
      </c>
      <c r="B41" s="5">
        <f>0</f>
        <v>0</v>
      </c>
      <c r="C41" s="5">
        <f>0</f>
        <v>0</v>
      </c>
    </row>
    <row r="42" spans="1:3" x14ac:dyDescent="0.25">
      <c r="A42" s="2" t="s">
        <v>37</v>
      </c>
      <c r="B42" s="5">
        <f>0</f>
        <v>0</v>
      </c>
      <c r="C42" s="5">
        <f>0</f>
        <v>0</v>
      </c>
    </row>
    <row r="43" spans="1:3" x14ac:dyDescent="0.25">
      <c r="A43" s="2" t="s">
        <v>38</v>
      </c>
      <c r="B43" s="6">
        <f>((((((B34)+(B37))+(B38))+(B39))+(B40))+(B41))+(B42)</f>
        <v>15455493.879999999</v>
      </c>
      <c r="C43" s="6">
        <f>((((((C34)+(C37))+(C38))+(C39))+(C40))+(C41))+(C42)</f>
        <v>13866243.77</v>
      </c>
    </row>
    <row r="44" spans="1:3" x14ac:dyDescent="0.25">
      <c r="A44" s="2" t="s">
        <v>39</v>
      </c>
      <c r="B44" s="7">
        <f>((B23)+(B28))+(B43)</f>
        <v>15504390.659999998</v>
      </c>
      <c r="C44" s="7">
        <f>((C23)+(C28))+(C43)</f>
        <v>13912672.84</v>
      </c>
    </row>
    <row r="45" spans="1:3" x14ac:dyDescent="0.25">
      <c r="A45" s="2" t="s">
        <v>40</v>
      </c>
      <c r="B45" s="4"/>
      <c r="C45" s="4"/>
    </row>
    <row r="46" spans="1:3" x14ac:dyDescent="0.25">
      <c r="A46" s="2" t="s">
        <v>41</v>
      </c>
      <c r="B46" s="4"/>
      <c r="C46" s="4"/>
    </row>
    <row r="47" spans="1:3" x14ac:dyDescent="0.25">
      <c r="A47" s="2" t="s">
        <v>42</v>
      </c>
      <c r="B47" s="4"/>
      <c r="C47" s="4"/>
    </row>
    <row r="48" spans="1:3" x14ac:dyDescent="0.25">
      <c r="A48" s="2" t="s">
        <v>43</v>
      </c>
      <c r="B48" s="4"/>
      <c r="C48" s="4"/>
    </row>
    <row r="49" spans="1:3" x14ac:dyDescent="0.25">
      <c r="A49" s="2" t="s">
        <v>44</v>
      </c>
      <c r="B49" s="5">
        <f>7708.38</f>
        <v>7708.38</v>
      </c>
      <c r="C49" s="5">
        <f>3935.03</f>
        <v>3935.03</v>
      </c>
    </row>
    <row r="50" spans="1:3" x14ac:dyDescent="0.25">
      <c r="A50" s="2" t="s">
        <v>45</v>
      </c>
      <c r="B50" s="6">
        <f>B49</f>
        <v>7708.38</v>
      </c>
      <c r="C50" s="6">
        <f>C49</f>
        <v>3935.03</v>
      </c>
    </row>
    <row r="51" spans="1:3" x14ac:dyDescent="0.25">
      <c r="A51" s="2" t="s">
        <v>46</v>
      </c>
      <c r="B51" s="4"/>
      <c r="C51" s="4"/>
    </row>
    <row r="52" spans="1:3" x14ac:dyDescent="0.25">
      <c r="A52" s="2" t="s">
        <v>47</v>
      </c>
      <c r="B52" s="5">
        <f>0</f>
        <v>0</v>
      </c>
      <c r="C52" s="5">
        <f>0</f>
        <v>0</v>
      </c>
    </row>
    <row r="53" spans="1:3" x14ac:dyDescent="0.25">
      <c r="A53" s="2" t="s">
        <v>48</v>
      </c>
      <c r="B53" s="5">
        <f>8500</f>
        <v>8500</v>
      </c>
      <c r="C53" s="5">
        <f>23529.11</f>
        <v>23529.11</v>
      </c>
    </row>
    <row r="54" spans="1:3" x14ac:dyDescent="0.25">
      <c r="A54" s="2" t="s">
        <v>49</v>
      </c>
      <c r="B54" s="5">
        <f>5167821.97</f>
        <v>5167821.97</v>
      </c>
      <c r="C54" s="5">
        <f>4156520.18</f>
        <v>4156520.18</v>
      </c>
    </row>
    <row r="55" spans="1:3" x14ac:dyDescent="0.25">
      <c r="A55" s="2" t="s">
        <v>50</v>
      </c>
      <c r="B55" s="6">
        <f>((B52)+(B53))+(B54)</f>
        <v>5176321.97</v>
      </c>
      <c r="C55" s="6">
        <f>((C52)+(C53))+(C54)</f>
        <v>4180049.29</v>
      </c>
    </row>
    <row r="56" spans="1:3" x14ac:dyDescent="0.25">
      <c r="A56" s="2" t="s">
        <v>51</v>
      </c>
      <c r="B56" s="6">
        <f>(B50)+(B55)</f>
        <v>5184030.3499999996</v>
      </c>
      <c r="C56" s="6">
        <f>(C50)+(C55)</f>
        <v>4183984.32</v>
      </c>
    </row>
    <row r="57" spans="1:3" x14ac:dyDescent="0.25">
      <c r="A57" s="2" t="s">
        <v>52</v>
      </c>
      <c r="B57" s="6">
        <f>B56</f>
        <v>5184030.3499999996</v>
      </c>
      <c r="C57" s="6">
        <f>C56</f>
        <v>4183984.32</v>
      </c>
    </row>
    <row r="58" spans="1:3" x14ac:dyDescent="0.25">
      <c r="A58" s="2" t="s">
        <v>53</v>
      </c>
      <c r="B58" s="4"/>
      <c r="C58" s="4"/>
    </row>
    <row r="59" spans="1:3" x14ac:dyDescent="0.25">
      <c r="A59" s="2" t="s">
        <v>54</v>
      </c>
      <c r="B59" s="5">
        <f>3800186.96</f>
        <v>3800186.96</v>
      </c>
      <c r="C59" s="5">
        <f>3800186.96</f>
        <v>3800186.96</v>
      </c>
    </row>
    <row r="60" spans="1:3" x14ac:dyDescent="0.25">
      <c r="A60" s="2" t="s">
        <v>55</v>
      </c>
      <c r="B60" s="5">
        <f>4629794.91</f>
        <v>4629794.91</v>
      </c>
      <c r="C60" s="5">
        <f>4629794.91</f>
        <v>4629794.91</v>
      </c>
    </row>
    <row r="61" spans="1:3" x14ac:dyDescent="0.25">
      <c r="A61" s="2" t="s">
        <v>56</v>
      </c>
      <c r="B61" s="5">
        <f>761386.07</f>
        <v>761386.07</v>
      </c>
      <c r="C61" s="5">
        <f>761386.07</f>
        <v>761386.07</v>
      </c>
    </row>
    <row r="62" spans="1:3" x14ac:dyDescent="0.25">
      <c r="A62" s="2" t="s">
        <v>57</v>
      </c>
      <c r="B62" s="5">
        <f>1302529.31</f>
        <v>1302529.31</v>
      </c>
      <c r="C62" s="5">
        <f>400842.21</f>
        <v>400842.21</v>
      </c>
    </row>
    <row r="63" spans="1:3" x14ac:dyDescent="0.25">
      <c r="A63" s="2" t="s">
        <v>58</v>
      </c>
      <c r="B63" s="5">
        <f>-173536.94</f>
        <v>-173536.94</v>
      </c>
      <c r="C63" s="5">
        <f>136478.37</f>
        <v>136478.37</v>
      </c>
    </row>
    <row r="64" spans="1:3" x14ac:dyDescent="0.25">
      <c r="A64" s="2" t="s">
        <v>59</v>
      </c>
      <c r="B64" s="6">
        <f>((((B59)+(B60))+(B61))+(B62))+(B63)</f>
        <v>10320360.310000002</v>
      </c>
      <c r="C64" s="6">
        <f>((((C59)+(C60))+(C61))+(C62))+(C63)</f>
        <v>9728688.5200000014</v>
      </c>
    </row>
    <row r="65" spans="1:3" x14ac:dyDescent="0.25">
      <c r="A65" s="2" t="s">
        <v>60</v>
      </c>
      <c r="B65" s="7">
        <f>(B57)+(B64)</f>
        <v>15504390.660000002</v>
      </c>
      <c r="C65" s="7">
        <f>(C57)+(C64)</f>
        <v>13912672.840000002</v>
      </c>
    </row>
    <row r="66" spans="1:3" x14ac:dyDescent="0.25">
      <c r="A66" s="2"/>
      <c r="B66" s="4"/>
      <c r="C66" s="4"/>
    </row>
    <row r="67" spans="1:3" x14ac:dyDescent="0.25">
      <c r="A67" s="28" t="s">
        <v>67</v>
      </c>
      <c r="B67" s="28"/>
      <c r="C67" s="28"/>
    </row>
    <row r="69" spans="1:3" x14ac:dyDescent="0.25">
      <c r="A69" s="24" t="s">
        <v>61</v>
      </c>
      <c r="B69" s="25"/>
      <c r="C69" s="25"/>
    </row>
  </sheetData>
  <mergeCells count="6">
    <mergeCell ref="B5:C5"/>
    <mergeCell ref="A69:C69"/>
    <mergeCell ref="A1:C1"/>
    <mergeCell ref="A2:C2"/>
    <mergeCell ref="A3:C3"/>
    <mergeCell ref="A67:C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B93A-2911-41E4-A083-1463AB36534B}">
  <dimension ref="A1:E83"/>
  <sheetViews>
    <sheetView topLeftCell="A65" workbookViewId="0">
      <selection activeCell="D72" sqref="D72"/>
    </sheetView>
  </sheetViews>
  <sheetFormatPr defaultRowHeight="15" x14ac:dyDescent="0.25"/>
  <cols>
    <col min="1" max="1" width="40.42578125" customWidth="1"/>
    <col min="2" max="2" width="11" style="8" bestFit="1" customWidth="1"/>
    <col min="3" max="3" width="10.42578125" style="8" bestFit="1" customWidth="1"/>
    <col min="4" max="4" width="11" style="8" bestFit="1" customWidth="1"/>
    <col min="5" max="5" width="10.42578125" bestFit="1" customWidth="1"/>
  </cols>
  <sheetData>
    <row r="1" spans="1:5" ht="18" x14ac:dyDescent="0.25">
      <c r="A1" s="32" t="s">
        <v>62</v>
      </c>
      <c r="B1" s="25"/>
      <c r="C1" s="25"/>
      <c r="D1" s="25"/>
      <c r="E1" s="25"/>
    </row>
    <row r="2" spans="1:5" ht="18" x14ac:dyDescent="0.25">
      <c r="A2" s="32" t="s">
        <v>144</v>
      </c>
      <c r="B2" s="25"/>
      <c r="C2" s="25"/>
      <c r="D2" s="25"/>
      <c r="E2" s="25"/>
    </row>
    <row r="3" spans="1:5" x14ac:dyDescent="0.25">
      <c r="A3" s="33" t="s">
        <v>143</v>
      </c>
      <c r="B3" s="25"/>
      <c r="C3" s="25"/>
      <c r="D3" s="25"/>
      <c r="E3" s="25"/>
    </row>
    <row r="5" spans="1:5" x14ac:dyDescent="0.25">
      <c r="A5" s="1"/>
      <c r="B5" s="29" t="s">
        <v>0</v>
      </c>
      <c r="C5" s="30"/>
      <c r="D5" s="30"/>
      <c r="E5" s="30"/>
    </row>
    <row r="6" spans="1:5" ht="24.75" x14ac:dyDescent="0.25">
      <c r="A6" s="1"/>
      <c r="B6" s="17" t="s">
        <v>142</v>
      </c>
      <c r="C6" s="17" t="s">
        <v>141</v>
      </c>
      <c r="D6" s="17" t="s">
        <v>140</v>
      </c>
      <c r="E6" s="16" t="s">
        <v>139</v>
      </c>
    </row>
    <row r="7" spans="1:5" x14ac:dyDescent="0.25">
      <c r="A7" s="1"/>
      <c r="B7" s="20"/>
      <c r="C7" s="20"/>
      <c r="D7" s="20"/>
      <c r="E7" s="21"/>
    </row>
    <row r="8" spans="1:5" x14ac:dyDescent="0.25">
      <c r="A8" s="1"/>
      <c r="B8" s="20"/>
      <c r="C8" s="20"/>
      <c r="D8" s="20"/>
      <c r="E8" s="21"/>
    </row>
    <row r="9" spans="1:5" x14ac:dyDescent="0.25">
      <c r="A9" s="1"/>
      <c r="B9" s="20"/>
      <c r="C9" s="20"/>
      <c r="D9" s="20"/>
      <c r="E9" s="21"/>
    </row>
    <row r="10" spans="1:5" x14ac:dyDescent="0.25">
      <c r="A10" s="11" t="s">
        <v>138</v>
      </c>
      <c r="B10" s="10"/>
      <c r="C10" s="10"/>
      <c r="D10" s="10"/>
      <c r="E10" s="9"/>
    </row>
    <row r="11" spans="1:5" x14ac:dyDescent="0.25">
      <c r="A11" s="11" t="s">
        <v>137</v>
      </c>
      <c r="B11" s="10"/>
      <c r="C11" s="10"/>
      <c r="D11" s="15">
        <f t="shared" ref="D11:D20" si="0">(B11)-(C11)</f>
        <v>0</v>
      </c>
      <c r="E11" s="14" t="str">
        <f t="shared" ref="E11:E20" si="1">IF(C11=0,"",(B11)/(C11))</f>
        <v/>
      </c>
    </row>
    <row r="12" spans="1:5" x14ac:dyDescent="0.25">
      <c r="A12" s="11" t="s">
        <v>136</v>
      </c>
      <c r="B12" s="15">
        <f>21155.86</f>
        <v>21155.86</v>
      </c>
      <c r="C12" s="15">
        <f>12750</f>
        <v>12750</v>
      </c>
      <c r="D12" s="15">
        <f t="shared" si="0"/>
        <v>8405.86</v>
      </c>
      <c r="E12" s="14">
        <f t="shared" si="1"/>
        <v>1.659283137254902</v>
      </c>
    </row>
    <row r="13" spans="1:5" x14ac:dyDescent="0.25">
      <c r="A13" s="11" t="s">
        <v>135</v>
      </c>
      <c r="B13" s="10"/>
      <c r="C13" s="10"/>
      <c r="D13" s="15">
        <f t="shared" si="0"/>
        <v>0</v>
      </c>
      <c r="E13" s="14" t="str">
        <f t="shared" si="1"/>
        <v/>
      </c>
    </row>
    <row r="14" spans="1:5" x14ac:dyDescent="0.25">
      <c r="A14" s="11" t="s">
        <v>134</v>
      </c>
      <c r="B14" s="15">
        <f>71734.45</f>
        <v>71734.45</v>
      </c>
      <c r="C14" s="15">
        <f>72500</f>
        <v>72500</v>
      </c>
      <c r="D14" s="15">
        <f t="shared" si="0"/>
        <v>-765.55000000000291</v>
      </c>
      <c r="E14" s="14">
        <f t="shared" si="1"/>
        <v>0.9894406896551724</v>
      </c>
    </row>
    <row r="15" spans="1:5" x14ac:dyDescent="0.25">
      <c r="A15" s="11" t="s">
        <v>133</v>
      </c>
      <c r="B15" s="13">
        <f>(B13)+(B14)</f>
        <v>71734.45</v>
      </c>
      <c r="C15" s="13">
        <f>(C13)+(C14)</f>
        <v>72500</v>
      </c>
      <c r="D15" s="13">
        <f t="shared" si="0"/>
        <v>-765.55000000000291</v>
      </c>
      <c r="E15" s="12">
        <f t="shared" si="1"/>
        <v>0.9894406896551724</v>
      </c>
    </row>
    <row r="16" spans="1:5" x14ac:dyDescent="0.25">
      <c r="A16" s="11" t="s">
        <v>132</v>
      </c>
      <c r="B16" s="15">
        <f>20833.35</f>
        <v>20833.349999999999</v>
      </c>
      <c r="C16" s="15">
        <f>20833.35</f>
        <v>20833.349999999999</v>
      </c>
      <c r="D16" s="15">
        <f t="shared" si="0"/>
        <v>0</v>
      </c>
      <c r="E16" s="14">
        <f t="shared" si="1"/>
        <v>1</v>
      </c>
    </row>
    <row r="17" spans="1:5" x14ac:dyDescent="0.25">
      <c r="A17" s="11" t="s">
        <v>131</v>
      </c>
      <c r="B17" s="13">
        <f>(((B11)+(B12))+(B15))+(B16)</f>
        <v>113723.66</v>
      </c>
      <c r="C17" s="13">
        <f>(((C11)+(C12))+(C15))+(C16)</f>
        <v>106083.35</v>
      </c>
      <c r="D17" s="13">
        <f t="shared" si="0"/>
        <v>7640.3099999999977</v>
      </c>
      <c r="E17" s="12">
        <f t="shared" si="1"/>
        <v>1.0720217640185759</v>
      </c>
    </row>
    <row r="18" spans="1:5" x14ac:dyDescent="0.25">
      <c r="A18" s="11" t="s">
        <v>130</v>
      </c>
      <c r="B18" s="15">
        <f>708.49</f>
        <v>708.49</v>
      </c>
      <c r="C18" s="10"/>
      <c r="D18" s="15">
        <f t="shared" si="0"/>
        <v>708.49</v>
      </c>
      <c r="E18" s="14" t="str">
        <f t="shared" si="1"/>
        <v/>
      </c>
    </row>
    <row r="19" spans="1:5" x14ac:dyDescent="0.25">
      <c r="A19" s="11" t="s">
        <v>129</v>
      </c>
      <c r="B19" s="13">
        <f>(B17)+(B18)</f>
        <v>114432.15000000001</v>
      </c>
      <c r="C19" s="13">
        <f>(C17)+(C18)</f>
        <v>106083.35</v>
      </c>
      <c r="D19" s="13">
        <f t="shared" si="0"/>
        <v>8348.8000000000029</v>
      </c>
      <c r="E19" s="12">
        <f t="shared" si="1"/>
        <v>1.0787003804084241</v>
      </c>
    </row>
    <row r="20" spans="1:5" x14ac:dyDescent="0.25">
      <c r="A20" s="11" t="s">
        <v>128</v>
      </c>
      <c r="B20" s="13">
        <f>(B19)-(0)</f>
        <v>114432.15000000001</v>
      </c>
      <c r="C20" s="13">
        <f>(C19)-(0)</f>
        <v>106083.35</v>
      </c>
      <c r="D20" s="13">
        <f t="shared" si="0"/>
        <v>8348.8000000000029</v>
      </c>
      <c r="E20" s="12">
        <f t="shared" si="1"/>
        <v>1.0787003804084241</v>
      </c>
    </row>
    <row r="21" spans="1:5" x14ac:dyDescent="0.25">
      <c r="A21" s="11" t="s">
        <v>127</v>
      </c>
      <c r="B21" s="10"/>
      <c r="C21" s="10"/>
      <c r="D21" s="10"/>
      <c r="E21" s="9"/>
    </row>
    <row r="22" spans="1:5" x14ac:dyDescent="0.25">
      <c r="A22" s="11" t="s">
        <v>126</v>
      </c>
      <c r="B22" s="15">
        <f>768.54</f>
        <v>768.54</v>
      </c>
      <c r="C22" s="15">
        <f>2083.35</f>
        <v>2083.35</v>
      </c>
      <c r="D22" s="15">
        <f t="shared" ref="D22:D65" si="2">(B22)-(C22)</f>
        <v>-1314.81</v>
      </c>
      <c r="E22" s="14">
        <f t="shared" ref="E22:E65" si="3">IF(C22=0,"",(B22)/(C22))</f>
        <v>0.36889624883000938</v>
      </c>
    </row>
    <row r="23" spans="1:5" x14ac:dyDescent="0.25">
      <c r="A23" s="11" t="s">
        <v>125</v>
      </c>
      <c r="B23" s="10"/>
      <c r="C23" s="15">
        <f>5000</f>
        <v>5000</v>
      </c>
      <c r="D23" s="15">
        <f t="shared" si="2"/>
        <v>-5000</v>
      </c>
      <c r="E23" s="14">
        <f t="shared" si="3"/>
        <v>0</v>
      </c>
    </row>
    <row r="24" spans="1:5" x14ac:dyDescent="0.25">
      <c r="A24" s="11" t="s">
        <v>124</v>
      </c>
      <c r="B24" s="10"/>
      <c r="C24" s="15">
        <f>4166.65</f>
        <v>4166.6499999999996</v>
      </c>
      <c r="D24" s="15">
        <f t="shared" si="2"/>
        <v>-4166.6499999999996</v>
      </c>
      <c r="E24" s="14">
        <f t="shared" si="3"/>
        <v>0</v>
      </c>
    </row>
    <row r="25" spans="1:5" x14ac:dyDescent="0.25">
      <c r="A25" s="11" t="s">
        <v>123</v>
      </c>
      <c r="B25" s="15">
        <f>584.6</f>
        <v>584.6</v>
      </c>
      <c r="C25" s="15">
        <f>41.65</f>
        <v>41.65</v>
      </c>
      <c r="D25" s="15">
        <f t="shared" si="2"/>
        <v>542.95000000000005</v>
      </c>
      <c r="E25" s="14">
        <f t="shared" si="3"/>
        <v>14.036014405762305</v>
      </c>
    </row>
    <row r="26" spans="1:5" x14ac:dyDescent="0.25">
      <c r="A26" s="11" t="s">
        <v>122</v>
      </c>
      <c r="B26" s="15">
        <f>500</f>
        <v>500</v>
      </c>
      <c r="C26" s="15">
        <f>500</f>
        <v>500</v>
      </c>
      <c r="D26" s="15">
        <f t="shared" si="2"/>
        <v>0</v>
      </c>
      <c r="E26" s="14">
        <f t="shared" si="3"/>
        <v>1</v>
      </c>
    </row>
    <row r="27" spans="1:5" x14ac:dyDescent="0.25">
      <c r="A27" s="11" t="s">
        <v>121</v>
      </c>
      <c r="B27" s="10"/>
      <c r="C27" s="15">
        <f>2572.9</f>
        <v>2572.9</v>
      </c>
      <c r="D27" s="15">
        <f t="shared" si="2"/>
        <v>-2572.9</v>
      </c>
      <c r="E27" s="14">
        <f t="shared" si="3"/>
        <v>0</v>
      </c>
    </row>
    <row r="28" spans="1:5" x14ac:dyDescent="0.25">
      <c r="A28" s="11" t="s">
        <v>120</v>
      </c>
      <c r="B28" s="15">
        <f>568.94</f>
        <v>568.94000000000005</v>
      </c>
      <c r="C28" s="10"/>
      <c r="D28" s="15">
        <f t="shared" si="2"/>
        <v>568.94000000000005</v>
      </c>
      <c r="E28" s="14" t="str">
        <f t="shared" si="3"/>
        <v/>
      </c>
    </row>
    <row r="29" spans="1:5" x14ac:dyDescent="0.25">
      <c r="A29" s="11" t="s">
        <v>119</v>
      </c>
      <c r="B29" s="15">
        <f>313.93</f>
        <v>313.93</v>
      </c>
      <c r="C29" s="15">
        <f>2083.35</f>
        <v>2083.35</v>
      </c>
      <c r="D29" s="15">
        <f t="shared" si="2"/>
        <v>-1769.4199999999998</v>
      </c>
      <c r="E29" s="14">
        <f t="shared" si="3"/>
        <v>0.15068519451844387</v>
      </c>
    </row>
    <row r="30" spans="1:5" x14ac:dyDescent="0.25">
      <c r="A30" s="11" t="s">
        <v>118</v>
      </c>
      <c r="B30" s="15">
        <f>10000</f>
        <v>10000</v>
      </c>
      <c r="C30" s="15">
        <f>12083.35</f>
        <v>12083.35</v>
      </c>
      <c r="D30" s="15">
        <f t="shared" si="2"/>
        <v>-2083.3500000000004</v>
      </c>
      <c r="E30" s="14">
        <f t="shared" si="3"/>
        <v>0.82758506539990973</v>
      </c>
    </row>
    <row r="31" spans="1:5" x14ac:dyDescent="0.25">
      <c r="A31" s="11" t="s">
        <v>117</v>
      </c>
      <c r="B31" s="10"/>
      <c r="C31" s="15">
        <f>20.85</f>
        <v>20.85</v>
      </c>
      <c r="D31" s="15">
        <f t="shared" si="2"/>
        <v>-20.85</v>
      </c>
      <c r="E31" s="14">
        <f t="shared" si="3"/>
        <v>0</v>
      </c>
    </row>
    <row r="32" spans="1:5" x14ac:dyDescent="0.25">
      <c r="A32" s="11" t="s">
        <v>116</v>
      </c>
      <c r="B32" s="15">
        <f>500</f>
        <v>500</v>
      </c>
      <c r="C32" s="15">
        <f>833.35</f>
        <v>833.35</v>
      </c>
      <c r="D32" s="15">
        <f t="shared" si="2"/>
        <v>-333.35</v>
      </c>
      <c r="E32" s="14">
        <f t="shared" si="3"/>
        <v>0.59998800023999521</v>
      </c>
    </row>
    <row r="33" spans="1:5" x14ac:dyDescent="0.25">
      <c r="A33" s="11" t="s">
        <v>115</v>
      </c>
      <c r="B33" s="10"/>
      <c r="C33" s="15">
        <f>208.35</f>
        <v>208.35</v>
      </c>
      <c r="D33" s="15">
        <f t="shared" si="2"/>
        <v>-208.35</v>
      </c>
      <c r="E33" s="14">
        <f t="shared" si="3"/>
        <v>0</v>
      </c>
    </row>
    <row r="34" spans="1:5" x14ac:dyDescent="0.25">
      <c r="A34" s="11" t="s">
        <v>114</v>
      </c>
      <c r="B34" s="10"/>
      <c r="C34" s="10"/>
      <c r="D34" s="15">
        <f t="shared" si="2"/>
        <v>0</v>
      </c>
      <c r="E34" s="14" t="str">
        <f t="shared" si="3"/>
        <v/>
      </c>
    </row>
    <row r="35" spans="1:5" x14ac:dyDescent="0.25">
      <c r="A35" s="11" t="s">
        <v>113</v>
      </c>
      <c r="B35" s="15">
        <f>2829.38</f>
        <v>2829.38</v>
      </c>
      <c r="C35" s="10"/>
      <c r="D35" s="15">
        <f t="shared" si="2"/>
        <v>2829.38</v>
      </c>
      <c r="E35" s="14" t="str">
        <f t="shared" si="3"/>
        <v/>
      </c>
    </row>
    <row r="36" spans="1:5" x14ac:dyDescent="0.25">
      <c r="A36" s="11" t="s">
        <v>112</v>
      </c>
      <c r="B36" s="15">
        <f>54820.3</f>
        <v>54820.3</v>
      </c>
      <c r="C36" s="15">
        <f>58740.4</f>
        <v>58740.4</v>
      </c>
      <c r="D36" s="15">
        <f t="shared" si="2"/>
        <v>-3920.0999999999985</v>
      </c>
      <c r="E36" s="14">
        <f t="shared" si="3"/>
        <v>0.93326398866878679</v>
      </c>
    </row>
    <row r="37" spans="1:5" x14ac:dyDescent="0.25">
      <c r="A37" s="11" t="s">
        <v>111</v>
      </c>
      <c r="B37" s="15">
        <f>418.88</f>
        <v>418.88</v>
      </c>
      <c r="C37" s="15">
        <f>416.65</f>
        <v>416.65</v>
      </c>
      <c r="D37" s="15">
        <f t="shared" si="2"/>
        <v>2.2300000000000182</v>
      </c>
      <c r="E37" s="14">
        <f t="shared" si="3"/>
        <v>1.0053522140885636</v>
      </c>
    </row>
    <row r="38" spans="1:5" x14ac:dyDescent="0.25">
      <c r="A38" s="11" t="s">
        <v>110</v>
      </c>
      <c r="B38" s="15">
        <f>5714.66</f>
        <v>5714.66</v>
      </c>
      <c r="C38" s="15">
        <f>5874.15</f>
        <v>5874.15</v>
      </c>
      <c r="D38" s="15">
        <f t="shared" si="2"/>
        <v>-159.48999999999978</v>
      </c>
      <c r="E38" s="14">
        <f t="shared" si="3"/>
        <v>0.97284883770417852</v>
      </c>
    </row>
    <row r="39" spans="1:5" x14ac:dyDescent="0.25">
      <c r="A39" s="11" t="s">
        <v>109</v>
      </c>
      <c r="B39" s="13">
        <f>((((B34)+(B35))+(B36))+(B37))+(B38)</f>
        <v>63783.22</v>
      </c>
      <c r="C39" s="13">
        <f>((((C34)+(C35))+(C36))+(C37))+(C38)</f>
        <v>65031.200000000004</v>
      </c>
      <c r="D39" s="13">
        <f t="shared" si="2"/>
        <v>-1247.9800000000032</v>
      </c>
      <c r="E39" s="12">
        <f t="shared" si="3"/>
        <v>0.98080951912312853</v>
      </c>
    </row>
    <row r="40" spans="1:5" x14ac:dyDescent="0.25">
      <c r="A40" s="11" t="s">
        <v>108</v>
      </c>
      <c r="B40" s="10"/>
      <c r="C40" s="10"/>
      <c r="D40" s="15">
        <f t="shared" si="2"/>
        <v>0</v>
      </c>
      <c r="E40" s="14" t="str">
        <f t="shared" si="3"/>
        <v/>
      </c>
    </row>
    <row r="41" spans="1:5" x14ac:dyDescent="0.25">
      <c r="A41" s="11" t="s">
        <v>107</v>
      </c>
      <c r="B41" s="15">
        <f>11000</f>
        <v>11000</v>
      </c>
      <c r="C41" s="15">
        <f>11000</f>
        <v>11000</v>
      </c>
      <c r="D41" s="15">
        <f t="shared" si="2"/>
        <v>0</v>
      </c>
      <c r="E41" s="14">
        <f t="shared" si="3"/>
        <v>1</v>
      </c>
    </row>
    <row r="42" spans="1:5" x14ac:dyDescent="0.25">
      <c r="A42" s="11" t="s">
        <v>106</v>
      </c>
      <c r="B42" s="15">
        <f>2800</f>
        <v>2800</v>
      </c>
      <c r="C42" s="15">
        <f>2000</f>
        <v>2000</v>
      </c>
      <c r="D42" s="15">
        <f t="shared" si="2"/>
        <v>800</v>
      </c>
      <c r="E42" s="14">
        <f t="shared" si="3"/>
        <v>1.4</v>
      </c>
    </row>
    <row r="43" spans="1:5" x14ac:dyDescent="0.25">
      <c r="A43" s="11" t="s">
        <v>105</v>
      </c>
      <c r="B43" s="15">
        <f>7333.38</f>
        <v>7333.38</v>
      </c>
      <c r="C43" s="15">
        <f>416.65</f>
        <v>416.65</v>
      </c>
      <c r="D43" s="15">
        <f t="shared" si="2"/>
        <v>6916.7300000000005</v>
      </c>
      <c r="E43" s="14">
        <f t="shared" si="3"/>
        <v>17.600816032641308</v>
      </c>
    </row>
    <row r="44" spans="1:5" x14ac:dyDescent="0.25">
      <c r="A44" s="11" t="s">
        <v>104</v>
      </c>
      <c r="B44" s="13">
        <f>(((B40)+(B41))+(B42))+(B43)</f>
        <v>21133.38</v>
      </c>
      <c r="C44" s="13">
        <f>(((C40)+(C41))+(C42))+(C43)</f>
        <v>13416.65</v>
      </c>
      <c r="D44" s="13">
        <f t="shared" si="2"/>
        <v>7716.7300000000014</v>
      </c>
      <c r="E44" s="12">
        <f t="shared" si="3"/>
        <v>1.5751607144853597</v>
      </c>
    </row>
    <row r="45" spans="1:5" x14ac:dyDescent="0.25">
      <c r="A45" s="11" t="s">
        <v>103</v>
      </c>
      <c r="B45" s="10"/>
      <c r="C45" s="10"/>
      <c r="D45" s="15">
        <f t="shared" si="2"/>
        <v>0</v>
      </c>
      <c r="E45" s="14" t="str">
        <f t="shared" si="3"/>
        <v/>
      </c>
    </row>
    <row r="46" spans="1:5" x14ac:dyDescent="0.25">
      <c r="A46" s="11" t="s">
        <v>102</v>
      </c>
      <c r="B46" s="15">
        <f>0</f>
        <v>0</v>
      </c>
      <c r="C46" s="10"/>
      <c r="D46" s="15">
        <f t="shared" si="2"/>
        <v>0</v>
      </c>
      <c r="E46" s="14" t="str">
        <f t="shared" si="3"/>
        <v/>
      </c>
    </row>
    <row r="47" spans="1:5" x14ac:dyDescent="0.25">
      <c r="A47" s="11" t="s">
        <v>101</v>
      </c>
      <c r="B47" s="15">
        <f>5528.62</f>
        <v>5528.62</v>
      </c>
      <c r="C47" s="15">
        <f>7000</f>
        <v>7000</v>
      </c>
      <c r="D47" s="15">
        <f t="shared" si="2"/>
        <v>-1471.38</v>
      </c>
      <c r="E47" s="14">
        <f t="shared" si="3"/>
        <v>0.78980285714285714</v>
      </c>
    </row>
    <row r="48" spans="1:5" x14ac:dyDescent="0.25">
      <c r="A48" s="11" t="s">
        <v>100</v>
      </c>
      <c r="B48" s="13">
        <f>((B45)+(B46))+(B47)</f>
        <v>5528.62</v>
      </c>
      <c r="C48" s="13">
        <f>((C45)+(C46))+(C47)</f>
        <v>7000</v>
      </c>
      <c r="D48" s="13">
        <f t="shared" si="2"/>
        <v>-1471.38</v>
      </c>
      <c r="E48" s="12">
        <f t="shared" si="3"/>
        <v>0.78980285714285714</v>
      </c>
    </row>
    <row r="49" spans="1:5" x14ac:dyDescent="0.25">
      <c r="A49" s="11" t="s">
        <v>99</v>
      </c>
      <c r="B49" s="10"/>
      <c r="C49" s="10"/>
      <c r="D49" s="15">
        <f t="shared" si="2"/>
        <v>0</v>
      </c>
      <c r="E49" s="14" t="str">
        <f t="shared" si="3"/>
        <v/>
      </c>
    </row>
    <row r="50" spans="1:5" x14ac:dyDescent="0.25">
      <c r="A50" s="11" t="s">
        <v>98</v>
      </c>
      <c r="B50" s="15">
        <f>30.5</f>
        <v>30.5</v>
      </c>
      <c r="C50" s="15">
        <f>416.65</f>
        <v>416.65</v>
      </c>
      <c r="D50" s="15">
        <f t="shared" si="2"/>
        <v>-386.15</v>
      </c>
      <c r="E50" s="14">
        <f t="shared" si="3"/>
        <v>7.3202928117124685E-2</v>
      </c>
    </row>
    <row r="51" spans="1:5" x14ac:dyDescent="0.25">
      <c r="A51" s="11" t="s">
        <v>97</v>
      </c>
      <c r="B51" s="15">
        <f>348.85</f>
        <v>348.85</v>
      </c>
      <c r="C51" s="15">
        <f>208.35</f>
        <v>208.35</v>
      </c>
      <c r="D51" s="15">
        <f t="shared" si="2"/>
        <v>140.50000000000003</v>
      </c>
      <c r="E51" s="14">
        <f t="shared" si="3"/>
        <v>1.6743460523158149</v>
      </c>
    </row>
    <row r="52" spans="1:5" x14ac:dyDescent="0.25">
      <c r="A52" s="11" t="s">
        <v>96</v>
      </c>
      <c r="B52" s="15">
        <f>138.33</f>
        <v>138.33000000000001</v>
      </c>
      <c r="C52" s="15">
        <f>416.65</f>
        <v>416.65</v>
      </c>
      <c r="D52" s="15">
        <f t="shared" si="2"/>
        <v>-278.31999999999994</v>
      </c>
      <c r="E52" s="14">
        <f t="shared" si="3"/>
        <v>0.33200528021120851</v>
      </c>
    </row>
    <row r="53" spans="1:5" x14ac:dyDescent="0.25">
      <c r="A53" s="11" t="s">
        <v>95</v>
      </c>
      <c r="B53" s="15">
        <f>628.62</f>
        <v>628.62</v>
      </c>
      <c r="C53" s="15">
        <f>1250</f>
        <v>1250</v>
      </c>
      <c r="D53" s="15">
        <f t="shared" si="2"/>
        <v>-621.38</v>
      </c>
      <c r="E53" s="14">
        <f t="shared" si="3"/>
        <v>0.50289600000000001</v>
      </c>
    </row>
    <row r="54" spans="1:5" x14ac:dyDescent="0.25">
      <c r="A54" s="11" t="s">
        <v>94</v>
      </c>
      <c r="B54" s="15">
        <f>50</f>
        <v>50</v>
      </c>
      <c r="C54" s="15">
        <f>150</f>
        <v>150</v>
      </c>
      <c r="D54" s="15">
        <f t="shared" si="2"/>
        <v>-100</v>
      </c>
      <c r="E54" s="14">
        <f t="shared" si="3"/>
        <v>0.33333333333333331</v>
      </c>
    </row>
    <row r="55" spans="1:5" x14ac:dyDescent="0.25">
      <c r="A55" s="11" t="s">
        <v>93</v>
      </c>
      <c r="B55" s="15">
        <f>864.05</f>
        <v>864.05</v>
      </c>
      <c r="C55" s="15">
        <f>500</f>
        <v>500</v>
      </c>
      <c r="D55" s="15">
        <f t="shared" si="2"/>
        <v>364.04999999999995</v>
      </c>
      <c r="E55" s="14">
        <f t="shared" si="3"/>
        <v>1.7281</v>
      </c>
    </row>
    <row r="56" spans="1:5" x14ac:dyDescent="0.25">
      <c r="A56" s="11" t="s">
        <v>92</v>
      </c>
      <c r="B56" s="13">
        <f>((((((B49)+(B50))+(B51))+(B52))+(B53))+(B54))+(B55)</f>
        <v>2060.3500000000004</v>
      </c>
      <c r="C56" s="13">
        <f>((((((C49)+(C50))+(C51))+(C52))+(C53))+(C54))+(C55)</f>
        <v>2941.65</v>
      </c>
      <c r="D56" s="13">
        <f t="shared" si="2"/>
        <v>-881.29999999999973</v>
      </c>
      <c r="E56" s="12">
        <f t="shared" si="3"/>
        <v>0.70040623459623008</v>
      </c>
    </row>
    <row r="57" spans="1:5" x14ac:dyDescent="0.25">
      <c r="A57" s="11" t="s">
        <v>91</v>
      </c>
      <c r="B57" s="10"/>
      <c r="C57" s="10"/>
      <c r="D57" s="15">
        <f t="shared" si="2"/>
        <v>0</v>
      </c>
      <c r="E57" s="14" t="str">
        <f t="shared" si="3"/>
        <v/>
      </c>
    </row>
    <row r="58" spans="1:5" x14ac:dyDescent="0.25">
      <c r="A58" s="11" t="s">
        <v>90</v>
      </c>
      <c r="B58" s="15">
        <f>437.5</f>
        <v>437.5</v>
      </c>
      <c r="C58" s="15">
        <f>104.15</f>
        <v>104.15</v>
      </c>
      <c r="D58" s="15">
        <f t="shared" si="2"/>
        <v>333.35</v>
      </c>
      <c r="E58" s="14">
        <f t="shared" si="3"/>
        <v>4.2006721075372058</v>
      </c>
    </row>
    <row r="59" spans="1:5" x14ac:dyDescent="0.25">
      <c r="A59" s="11" t="s">
        <v>89</v>
      </c>
      <c r="B59" s="15">
        <f>1978.75</f>
        <v>1978.75</v>
      </c>
      <c r="C59" s="15">
        <f>208.35</f>
        <v>208.35</v>
      </c>
      <c r="D59" s="15">
        <f t="shared" si="2"/>
        <v>1770.4</v>
      </c>
      <c r="E59" s="14">
        <f t="shared" si="3"/>
        <v>9.4972402207823379</v>
      </c>
    </row>
    <row r="60" spans="1:5" x14ac:dyDescent="0.25">
      <c r="A60" s="11" t="s">
        <v>88</v>
      </c>
      <c r="B60" s="10"/>
      <c r="C60" s="15">
        <f>83.35</f>
        <v>83.35</v>
      </c>
      <c r="D60" s="15">
        <f t="shared" si="2"/>
        <v>-83.35</v>
      </c>
      <c r="E60" s="14">
        <f t="shared" si="3"/>
        <v>0</v>
      </c>
    </row>
    <row r="61" spans="1:5" x14ac:dyDescent="0.25">
      <c r="A61" s="11" t="s">
        <v>87</v>
      </c>
      <c r="B61" s="10"/>
      <c r="C61" s="15">
        <f>62.5</f>
        <v>62.5</v>
      </c>
      <c r="D61" s="15">
        <f t="shared" si="2"/>
        <v>-62.5</v>
      </c>
      <c r="E61" s="14">
        <f t="shared" si="3"/>
        <v>0</v>
      </c>
    </row>
    <row r="62" spans="1:5" x14ac:dyDescent="0.25">
      <c r="A62" s="11" t="s">
        <v>86</v>
      </c>
      <c r="B62" s="13">
        <f>((((B57)+(B58))+(B59))+(B60))+(B61)</f>
        <v>2416.25</v>
      </c>
      <c r="C62" s="13">
        <f>((((C57)+(C58))+(C59))+(C60))+(C61)</f>
        <v>458.35</v>
      </c>
      <c r="D62" s="13">
        <f t="shared" si="2"/>
        <v>1957.9</v>
      </c>
      <c r="E62" s="12">
        <f t="shared" si="3"/>
        <v>5.2716264863095885</v>
      </c>
    </row>
    <row r="63" spans="1:5" x14ac:dyDescent="0.25">
      <c r="A63" s="11" t="s">
        <v>85</v>
      </c>
      <c r="B63" s="15">
        <f>9100</f>
        <v>9100</v>
      </c>
      <c r="C63" s="10"/>
      <c r="D63" s="15">
        <f t="shared" si="2"/>
        <v>9100</v>
      </c>
      <c r="E63" s="14" t="str">
        <f t="shared" si="3"/>
        <v/>
      </c>
    </row>
    <row r="64" spans="1:5" x14ac:dyDescent="0.25">
      <c r="A64" s="11" t="s">
        <v>84</v>
      </c>
      <c r="B64" s="13">
        <f>(((((((((((((((((B22)+(B23))+(B24))+(B25))+(B26))+(B27))+(B28))+(B29))+(B30))+(B31))+(B32))+(B33))+(B39))+(B44))+(B48))+(B56))+(B62))+(B63)</f>
        <v>117257.83</v>
      </c>
      <c r="C64" s="13">
        <f>(((((((((((((((((C22)+(C23))+(C24))+(C25))+(C26))+(C27))+(C28))+(C29))+(C30))+(C31))+(C32))+(C33))+(C39))+(C44))+(C48))+(C56))+(C62))+(C63)</f>
        <v>118441.65</v>
      </c>
      <c r="D64" s="13">
        <f t="shared" si="2"/>
        <v>-1183.8199999999924</v>
      </c>
      <c r="E64" s="12">
        <f t="shared" si="3"/>
        <v>0.99000503623514202</v>
      </c>
    </row>
    <row r="65" spans="1:5" x14ac:dyDescent="0.25">
      <c r="A65" s="11" t="s">
        <v>83</v>
      </c>
      <c r="B65" s="13">
        <f>(B20)-(B64)</f>
        <v>-2825.679999999993</v>
      </c>
      <c r="C65" s="13">
        <f>(C20)-(C64)</f>
        <v>-12358.299999999988</v>
      </c>
      <c r="D65" s="13">
        <f t="shared" si="2"/>
        <v>9532.6199999999953</v>
      </c>
      <c r="E65" s="12">
        <f t="shared" si="3"/>
        <v>0.22864633485188057</v>
      </c>
    </row>
    <row r="66" spans="1:5" x14ac:dyDescent="0.25">
      <c r="A66" s="11" t="s">
        <v>82</v>
      </c>
      <c r="B66" s="10"/>
      <c r="C66" s="10"/>
      <c r="D66" s="10"/>
      <c r="E66" s="9"/>
    </row>
    <row r="67" spans="1:5" x14ac:dyDescent="0.25">
      <c r="A67" s="11" t="s">
        <v>81</v>
      </c>
      <c r="B67" s="15">
        <f>636578</f>
        <v>636578</v>
      </c>
      <c r="C67" s="10"/>
      <c r="D67" s="15">
        <f t="shared" ref="D67:D74" si="4">(B67)-(C67)</f>
        <v>636578</v>
      </c>
      <c r="E67" s="14" t="str">
        <f t="shared" ref="E67:E74" si="5">IF(C67=0,"",(B67)/(C67))</f>
        <v/>
      </c>
    </row>
    <row r="68" spans="1:5" x14ac:dyDescent="0.25">
      <c r="A68" s="11" t="s">
        <v>80</v>
      </c>
      <c r="B68" s="10"/>
      <c r="C68" s="10"/>
      <c r="D68" s="15">
        <f t="shared" si="4"/>
        <v>0</v>
      </c>
      <c r="E68" s="14" t="str">
        <f t="shared" si="5"/>
        <v/>
      </c>
    </row>
    <row r="69" spans="1:5" x14ac:dyDescent="0.25">
      <c r="A69" s="11" t="s">
        <v>79</v>
      </c>
      <c r="B69" s="15">
        <f>72327.67</f>
        <v>72327.67</v>
      </c>
      <c r="C69" s="10"/>
      <c r="D69" s="15">
        <f t="shared" si="4"/>
        <v>72327.67</v>
      </c>
      <c r="E69" s="14" t="str">
        <f t="shared" si="5"/>
        <v/>
      </c>
    </row>
    <row r="70" spans="1:5" x14ac:dyDescent="0.25">
      <c r="A70" s="11" t="s">
        <v>78</v>
      </c>
      <c r="B70" s="15">
        <f>0</f>
        <v>0</v>
      </c>
      <c r="C70" s="10"/>
      <c r="D70" s="15">
        <f t="shared" si="4"/>
        <v>0</v>
      </c>
      <c r="E70" s="14" t="str">
        <f t="shared" si="5"/>
        <v/>
      </c>
    </row>
    <row r="71" spans="1:5" x14ac:dyDescent="0.25">
      <c r="A71" s="11" t="s">
        <v>77</v>
      </c>
      <c r="B71" s="15">
        <f>72930.21</f>
        <v>72930.210000000006</v>
      </c>
      <c r="C71" s="10"/>
      <c r="D71" s="15">
        <f t="shared" si="4"/>
        <v>72930.210000000006</v>
      </c>
      <c r="E71" s="14" t="str">
        <f t="shared" si="5"/>
        <v/>
      </c>
    </row>
    <row r="72" spans="1:5" x14ac:dyDescent="0.25">
      <c r="A72" s="11" t="s">
        <v>76</v>
      </c>
      <c r="B72" s="15">
        <f>-49402.13</f>
        <v>-49402.13</v>
      </c>
      <c r="C72" s="10"/>
      <c r="D72" s="15">
        <f t="shared" si="4"/>
        <v>-49402.13</v>
      </c>
      <c r="E72" s="14" t="str">
        <f t="shared" si="5"/>
        <v/>
      </c>
    </row>
    <row r="73" spans="1:5" x14ac:dyDescent="0.25">
      <c r="A73" s="11" t="s">
        <v>75</v>
      </c>
      <c r="B73" s="13">
        <f>((((B68)+(B69))+(B70))+(B71))+(B72)</f>
        <v>95855.75</v>
      </c>
      <c r="C73" s="13">
        <f>((((C68)+(C69))+(C70))+(C71))+(C72)</f>
        <v>0</v>
      </c>
      <c r="D73" s="13">
        <f t="shared" si="4"/>
        <v>95855.75</v>
      </c>
      <c r="E73" s="12" t="str">
        <f t="shared" si="5"/>
        <v/>
      </c>
    </row>
    <row r="74" spans="1:5" x14ac:dyDescent="0.25">
      <c r="A74" s="11" t="s">
        <v>74</v>
      </c>
      <c r="B74" s="13">
        <f>(B67)+(B73)</f>
        <v>732433.75</v>
      </c>
      <c r="C74" s="13">
        <f>(C67)+(C73)</f>
        <v>0</v>
      </c>
      <c r="D74" s="13">
        <f t="shared" si="4"/>
        <v>732433.75</v>
      </c>
      <c r="E74" s="12" t="str">
        <f t="shared" si="5"/>
        <v/>
      </c>
    </row>
    <row r="75" spans="1:5" x14ac:dyDescent="0.25">
      <c r="A75" s="11" t="s">
        <v>73</v>
      </c>
      <c r="B75" s="10"/>
      <c r="C75" s="10"/>
      <c r="D75" s="10"/>
      <c r="E75" s="9"/>
    </row>
    <row r="76" spans="1:5" x14ac:dyDescent="0.25">
      <c r="A76" s="11" t="s">
        <v>72</v>
      </c>
      <c r="B76" s="15">
        <f>903145.01</f>
        <v>903145.01</v>
      </c>
      <c r="C76" s="10"/>
      <c r="D76" s="15">
        <f>(B76)-(C76)</f>
        <v>903145.01</v>
      </c>
      <c r="E76" s="14" t="str">
        <f>IF(C76=0,"",(B76)/(C76))</f>
        <v/>
      </c>
    </row>
    <row r="77" spans="1:5" x14ac:dyDescent="0.25">
      <c r="A77" s="11" t="s">
        <v>71</v>
      </c>
      <c r="B77" s="13">
        <f>B76</f>
        <v>903145.01</v>
      </c>
      <c r="C77" s="13">
        <f>C76</f>
        <v>0</v>
      </c>
      <c r="D77" s="13">
        <f>(B77)-(C77)</f>
        <v>903145.01</v>
      </c>
      <c r="E77" s="12" t="str">
        <f>IF(C77=0,"",(B77)/(C77))</f>
        <v/>
      </c>
    </row>
    <row r="78" spans="1:5" x14ac:dyDescent="0.25">
      <c r="A78" s="11" t="s">
        <v>70</v>
      </c>
      <c r="B78" s="13">
        <f>(B74)-(B77)</f>
        <v>-170711.26</v>
      </c>
      <c r="C78" s="13">
        <f>(C74)-(C77)</f>
        <v>0</v>
      </c>
      <c r="D78" s="13">
        <f>(B78)-(C78)</f>
        <v>-170711.26</v>
      </c>
      <c r="E78" s="12" t="str">
        <f>IF(C78=0,"",(B78)/(C78))</f>
        <v/>
      </c>
    </row>
    <row r="79" spans="1:5" x14ac:dyDescent="0.25">
      <c r="A79" s="11" t="s">
        <v>69</v>
      </c>
      <c r="B79" s="13">
        <f>(B65)+(B78)</f>
        <v>-173536.94</v>
      </c>
      <c r="C79" s="13">
        <f>(C65)+(C78)</f>
        <v>-12358.299999999988</v>
      </c>
      <c r="D79" s="13">
        <f>(B79)-(C79)</f>
        <v>-161178.64000000001</v>
      </c>
      <c r="E79" s="12">
        <f>IF(C79=0,"",(B79)/(C79))</f>
        <v>14.042136863484473</v>
      </c>
    </row>
    <row r="80" spans="1:5" x14ac:dyDescent="0.25">
      <c r="A80" s="11"/>
      <c r="B80" s="10"/>
      <c r="C80" s="10"/>
      <c r="D80" s="10"/>
      <c r="E80" s="9"/>
    </row>
    <row r="81" spans="1:5" x14ac:dyDescent="0.25">
      <c r="A81" s="28" t="s">
        <v>67</v>
      </c>
      <c r="B81" s="28"/>
      <c r="C81" s="28"/>
      <c r="D81" s="28"/>
      <c r="E81" s="28"/>
    </row>
    <row r="83" spans="1:5" x14ac:dyDescent="0.25">
      <c r="A83" s="31" t="s">
        <v>68</v>
      </c>
      <c r="B83" s="25"/>
      <c r="C83" s="25"/>
      <c r="D83" s="25"/>
      <c r="E83" s="25"/>
    </row>
  </sheetData>
  <mergeCells count="6">
    <mergeCell ref="B5:E5"/>
    <mergeCell ref="A83:E83"/>
    <mergeCell ref="A1:E1"/>
    <mergeCell ref="A2:E2"/>
    <mergeCell ref="A3:E3"/>
    <mergeCell ref="A81:E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FFC3-A43A-4918-9B6A-E1D90B3FD4C1}">
  <dimension ref="A1:L72"/>
  <sheetViews>
    <sheetView workbookViewId="0">
      <selection activeCell="A71" sqref="A71"/>
    </sheetView>
  </sheetViews>
  <sheetFormatPr defaultRowHeight="15" x14ac:dyDescent="0.25"/>
  <cols>
    <col min="1" max="1" width="40.42578125" customWidth="1"/>
    <col min="2" max="2" width="12" hidden="1" customWidth="1"/>
    <col min="3" max="3" width="11.140625" style="8" customWidth="1"/>
    <col min="4" max="4" width="9.42578125" style="8" hidden="1" customWidth="1"/>
    <col min="5" max="5" width="11.140625" style="8" hidden="1" customWidth="1"/>
    <col min="6" max="6" width="12" style="8" hidden="1" customWidth="1"/>
    <col min="7" max="7" width="11.140625" style="8" hidden="1" customWidth="1"/>
    <col min="8" max="8" width="7.7109375" style="8" hidden="1" customWidth="1"/>
    <col min="9" max="10" width="11.140625" style="8" hidden="1" customWidth="1"/>
    <col min="11" max="11" width="11.140625" style="8" customWidth="1"/>
    <col min="12" max="12" width="12" style="8" customWidth="1"/>
  </cols>
  <sheetData>
    <row r="1" spans="1:12" ht="18" x14ac:dyDescent="0.25">
      <c r="A1" s="32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8" x14ac:dyDescent="0.25">
      <c r="A2" s="32" t="s">
        <v>157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33" t="s">
        <v>143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1:12" ht="48.75" x14ac:dyDescent="0.25">
      <c r="A5" s="1"/>
      <c r="B5" s="16" t="s">
        <v>156</v>
      </c>
      <c r="C5" s="17" t="s">
        <v>155</v>
      </c>
      <c r="D5" s="17" t="s">
        <v>154</v>
      </c>
      <c r="E5" s="17" t="s">
        <v>153</v>
      </c>
      <c r="F5" s="17" t="s">
        <v>152</v>
      </c>
      <c r="G5" s="17" t="s">
        <v>151</v>
      </c>
      <c r="H5" s="17" t="s">
        <v>150</v>
      </c>
      <c r="I5" s="17" t="s">
        <v>149</v>
      </c>
      <c r="J5" s="17" t="s">
        <v>148</v>
      </c>
      <c r="K5" s="17" t="s">
        <v>147</v>
      </c>
      <c r="L5" s="17" t="s">
        <v>146</v>
      </c>
    </row>
    <row r="6" spans="1:12" x14ac:dyDescent="0.25">
      <c r="A6" s="11" t="s">
        <v>138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1" t="s">
        <v>137</v>
      </c>
      <c r="B7" s="9"/>
      <c r="C7" s="10"/>
      <c r="D7" s="10"/>
      <c r="E7" s="10"/>
      <c r="F7" s="10"/>
      <c r="G7" s="10"/>
      <c r="H7" s="10"/>
      <c r="I7" s="10"/>
      <c r="J7" s="10"/>
      <c r="K7" s="15">
        <f t="shared" ref="K7:K16" si="0">(((G7)+(H7))+(I7))+(J7)</f>
        <v>0</v>
      </c>
      <c r="L7" s="15">
        <f t="shared" ref="L7:L16" si="1">(((((B7)+(C7))+(D7))+(E7))+(F7))+(K7)</f>
        <v>0</v>
      </c>
    </row>
    <row r="8" spans="1:12" x14ac:dyDescent="0.25">
      <c r="A8" s="11" t="s">
        <v>136</v>
      </c>
      <c r="B8" s="9"/>
      <c r="C8" s="10"/>
      <c r="D8" s="10"/>
      <c r="E8" s="10"/>
      <c r="F8" s="10"/>
      <c r="G8" s="15">
        <f>21155.86</f>
        <v>21155.86</v>
      </c>
      <c r="H8" s="10"/>
      <c r="I8" s="10"/>
      <c r="J8" s="10"/>
      <c r="K8" s="15">
        <f t="shared" si="0"/>
        <v>21155.86</v>
      </c>
      <c r="L8" s="15">
        <f t="shared" si="1"/>
        <v>21155.86</v>
      </c>
    </row>
    <row r="9" spans="1:12" x14ac:dyDescent="0.25">
      <c r="A9" s="11" t="s">
        <v>135</v>
      </c>
      <c r="B9" s="9"/>
      <c r="C9" s="10"/>
      <c r="D9" s="10"/>
      <c r="E9" s="10"/>
      <c r="F9" s="10"/>
      <c r="G9" s="10"/>
      <c r="H9" s="10"/>
      <c r="I9" s="10"/>
      <c r="J9" s="10"/>
      <c r="K9" s="15">
        <f t="shared" si="0"/>
        <v>0</v>
      </c>
      <c r="L9" s="15">
        <f t="shared" si="1"/>
        <v>0</v>
      </c>
    </row>
    <row r="10" spans="1:12" x14ac:dyDescent="0.25">
      <c r="A10" s="11" t="s">
        <v>134</v>
      </c>
      <c r="B10" s="9"/>
      <c r="C10" s="10"/>
      <c r="D10" s="10"/>
      <c r="E10" s="10"/>
      <c r="F10" s="10"/>
      <c r="G10" s="15">
        <f>71734.45</f>
        <v>71734.45</v>
      </c>
      <c r="H10" s="10"/>
      <c r="I10" s="10"/>
      <c r="J10" s="10"/>
      <c r="K10" s="15">
        <f t="shared" si="0"/>
        <v>71734.45</v>
      </c>
      <c r="L10" s="15">
        <f t="shared" si="1"/>
        <v>71734.45</v>
      </c>
    </row>
    <row r="11" spans="1:12" x14ac:dyDescent="0.25">
      <c r="A11" s="11" t="s">
        <v>133</v>
      </c>
      <c r="B11" s="18">
        <f t="shared" ref="B11:J11" si="2">(B9)+(B10)</f>
        <v>0</v>
      </c>
      <c r="C11" s="13">
        <f t="shared" si="2"/>
        <v>0</v>
      </c>
      <c r="D11" s="13">
        <f t="shared" si="2"/>
        <v>0</v>
      </c>
      <c r="E11" s="13">
        <f t="shared" si="2"/>
        <v>0</v>
      </c>
      <c r="F11" s="13">
        <f t="shared" si="2"/>
        <v>0</v>
      </c>
      <c r="G11" s="13">
        <f t="shared" si="2"/>
        <v>71734.45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0"/>
        <v>71734.45</v>
      </c>
      <c r="L11" s="13">
        <f t="shared" si="1"/>
        <v>71734.45</v>
      </c>
    </row>
    <row r="12" spans="1:12" x14ac:dyDescent="0.25">
      <c r="A12" s="11" t="s">
        <v>132</v>
      </c>
      <c r="B12" s="9"/>
      <c r="C12" s="15">
        <f>20833.35</f>
        <v>20833.349999999999</v>
      </c>
      <c r="D12" s="10"/>
      <c r="E12" s="10"/>
      <c r="F12" s="10"/>
      <c r="G12" s="10"/>
      <c r="H12" s="10"/>
      <c r="I12" s="10"/>
      <c r="J12" s="10"/>
      <c r="K12" s="15">
        <f t="shared" si="0"/>
        <v>0</v>
      </c>
      <c r="L12" s="15">
        <f t="shared" si="1"/>
        <v>20833.349999999999</v>
      </c>
    </row>
    <row r="13" spans="1:12" x14ac:dyDescent="0.25">
      <c r="A13" s="11" t="s">
        <v>131</v>
      </c>
      <c r="B13" s="18">
        <f t="shared" ref="B13:J13" si="3">(((B7)+(B8))+(B11))+(B12)</f>
        <v>0</v>
      </c>
      <c r="C13" s="13">
        <f t="shared" si="3"/>
        <v>20833.349999999999</v>
      </c>
      <c r="D13" s="13">
        <f t="shared" si="3"/>
        <v>0</v>
      </c>
      <c r="E13" s="13">
        <f t="shared" si="3"/>
        <v>0</v>
      </c>
      <c r="F13" s="13">
        <f t="shared" si="3"/>
        <v>0</v>
      </c>
      <c r="G13" s="13">
        <f t="shared" si="3"/>
        <v>92890.31</v>
      </c>
      <c r="H13" s="13">
        <f t="shared" si="3"/>
        <v>0</v>
      </c>
      <c r="I13" s="13">
        <f t="shared" si="3"/>
        <v>0</v>
      </c>
      <c r="J13" s="13">
        <f t="shared" si="3"/>
        <v>0</v>
      </c>
      <c r="K13" s="13">
        <f t="shared" si="0"/>
        <v>92890.31</v>
      </c>
      <c r="L13" s="13">
        <f t="shared" si="1"/>
        <v>113723.66</v>
      </c>
    </row>
    <row r="14" spans="1:12" x14ac:dyDescent="0.25">
      <c r="A14" s="11" t="s">
        <v>130</v>
      </c>
      <c r="B14" s="9"/>
      <c r="C14" s="10"/>
      <c r="D14" s="10"/>
      <c r="E14" s="10"/>
      <c r="F14" s="10"/>
      <c r="G14" s="15">
        <f>708.49</f>
        <v>708.49</v>
      </c>
      <c r="H14" s="10"/>
      <c r="I14" s="10"/>
      <c r="J14" s="10"/>
      <c r="K14" s="15">
        <f t="shared" si="0"/>
        <v>708.49</v>
      </c>
      <c r="L14" s="15">
        <f t="shared" si="1"/>
        <v>708.49</v>
      </c>
    </row>
    <row r="15" spans="1:12" x14ac:dyDescent="0.25">
      <c r="A15" s="11" t="s">
        <v>129</v>
      </c>
      <c r="B15" s="18">
        <f t="shared" ref="B15:J15" si="4">(B13)+(B14)</f>
        <v>0</v>
      </c>
      <c r="C15" s="13">
        <f t="shared" si="4"/>
        <v>20833.349999999999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3">
        <f t="shared" si="4"/>
        <v>93598.8</v>
      </c>
      <c r="H15" s="13">
        <f t="shared" si="4"/>
        <v>0</v>
      </c>
      <c r="I15" s="13">
        <f t="shared" si="4"/>
        <v>0</v>
      </c>
      <c r="J15" s="13">
        <f t="shared" si="4"/>
        <v>0</v>
      </c>
      <c r="K15" s="13">
        <f t="shared" si="0"/>
        <v>93598.8</v>
      </c>
      <c r="L15" s="13">
        <f t="shared" si="1"/>
        <v>114432.15</v>
      </c>
    </row>
    <row r="16" spans="1:12" x14ac:dyDescent="0.25">
      <c r="A16" s="11" t="s">
        <v>128</v>
      </c>
      <c r="B16" s="18">
        <f t="shared" ref="B16:J16" si="5">(B15)-(0)</f>
        <v>0</v>
      </c>
      <c r="C16" s="13">
        <f t="shared" si="5"/>
        <v>20833.349999999999</v>
      </c>
      <c r="D16" s="13">
        <f t="shared" si="5"/>
        <v>0</v>
      </c>
      <c r="E16" s="13">
        <f t="shared" si="5"/>
        <v>0</v>
      </c>
      <c r="F16" s="13">
        <f t="shared" si="5"/>
        <v>0</v>
      </c>
      <c r="G16" s="13">
        <f t="shared" si="5"/>
        <v>93598.8</v>
      </c>
      <c r="H16" s="13">
        <f t="shared" si="5"/>
        <v>0</v>
      </c>
      <c r="I16" s="13">
        <f t="shared" si="5"/>
        <v>0</v>
      </c>
      <c r="J16" s="13">
        <f t="shared" si="5"/>
        <v>0</v>
      </c>
      <c r="K16" s="13">
        <f t="shared" si="0"/>
        <v>93598.8</v>
      </c>
      <c r="L16" s="13">
        <f t="shared" si="1"/>
        <v>114432.15</v>
      </c>
    </row>
    <row r="17" spans="1:12" x14ac:dyDescent="0.25">
      <c r="A17" s="11" t="s">
        <v>127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s="11" t="s">
        <v>126</v>
      </c>
      <c r="B18" s="9"/>
      <c r="C18" s="15">
        <f>768.54</f>
        <v>768.54</v>
      </c>
      <c r="D18" s="10"/>
      <c r="E18" s="10"/>
      <c r="F18" s="10"/>
      <c r="G18" s="10"/>
      <c r="H18" s="10"/>
      <c r="I18" s="10"/>
      <c r="J18" s="10"/>
      <c r="K18" s="15">
        <f t="shared" ref="K18:K54" si="6">(((G18)+(H18))+(I18))+(J18)</f>
        <v>0</v>
      </c>
      <c r="L18" s="15">
        <f t="shared" ref="L18:L54" si="7">(((((B18)+(C18))+(D18))+(E18))+(F18))+(K18)</f>
        <v>768.54</v>
      </c>
    </row>
    <row r="19" spans="1:12" x14ac:dyDescent="0.25">
      <c r="A19" s="11" t="s">
        <v>123</v>
      </c>
      <c r="B19" s="9"/>
      <c r="C19" s="10"/>
      <c r="D19" s="10"/>
      <c r="E19" s="10"/>
      <c r="F19" s="15">
        <f>87.13</f>
        <v>87.13</v>
      </c>
      <c r="G19" s="10"/>
      <c r="H19" s="15">
        <f>79.97</f>
        <v>79.97</v>
      </c>
      <c r="I19" s="15">
        <f>417.5</f>
        <v>417.5</v>
      </c>
      <c r="J19" s="10"/>
      <c r="K19" s="15">
        <f t="shared" si="6"/>
        <v>497.47</v>
      </c>
      <c r="L19" s="15">
        <f t="shared" si="7"/>
        <v>584.6</v>
      </c>
    </row>
    <row r="20" spans="1:12" x14ac:dyDescent="0.25">
      <c r="A20" s="11" t="s">
        <v>122</v>
      </c>
      <c r="B20" s="9"/>
      <c r="C20" s="10"/>
      <c r="D20" s="10"/>
      <c r="E20" s="10"/>
      <c r="F20" s="10"/>
      <c r="G20" s="10"/>
      <c r="H20" s="10"/>
      <c r="I20" s="15">
        <f>500</f>
        <v>500</v>
      </c>
      <c r="J20" s="10"/>
      <c r="K20" s="15">
        <f t="shared" si="6"/>
        <v>500</v>
      </c>
      <c r="L20" s="15">
        <f t="shared" si="7"/>
        <v>500</v>
      </c>
    </row>
    <row r="21" spans="1:12" x14ac:dyDescent="0.25">
      <c r="A21" s="11" t="s">
        <v>120</v>
      </c>
      <c r="B21" s="9"/>
      <c r="C21" s="10"/>
      <c r="D21" s="10"/>
      <c r="E21" s="10"/>
      <c r="F21" s="10"/>
      <c r="G21" s="10"/>
      <c r="H21" s="10"/>
      <c r="I21" s="15">
        <f>568.94</f>
        <v>568.94000000000005</v>
      </c>
      <c r="J21" s="10"/>
      <c r="K21" s="15">
        <f t="shared" si="6"/>
        <v>568.94000000000005</v>
      </c>
      <c r="L21" s="15">
        <f t="shared" si="7"/>
        <v>568.94000000000005</v>
      </c>
    </row>
    <row r="22" spans="1:12" x14ac:dyDescent="0.25">
      <c r="A22" s="11" t="s">
        <v>119</v>
      </c>
      <c r="B22" s="9"/>
      <c r="C22" s="15">
        <f>313.93</f>
        <v>313.93</v>
      </c>
      <c r="D22" s="10"/>
      <c r="E22" s="10"/>
      <c r="F22" s="10"/>
      <c r="G22" s="10"/>
      <c r="H22" s="10"/>
      <c r="I22" s="10"/>
      <c r="J22" s="10"/>
      <c r="K22" s="15">
        <f t="shared" si="6"/>
        <v>0</v>
      </c>
      <c r="L22" s="15">
        <f t="shared" si="7"/>
        <v>313.93</v>
      </c>
    </row>
    <row r="23" spans="1:12" x14ac:dyDescent="0.25">
      <c r="A23" s="11" t="s">
        <v>118</v>
      </c>
      <c r="B23" s="9"/>
      <c r="C23" s="15">
        <f>1500</f>
        <v>1500</v>
      </c>
      <c r="D23" s="10"/>
      <c r="E23" s="10"/>
      <c r="F23" s="10"/>
      <c r="G23" s="10"/>
      <c r="H23" s="10"/>
      <c r="I23" s="10"/>
      <c r="J23" s="15">
        <f>8500</f>
        <v>8500</v>
      </c>
      <c r="K23" s="15">
        <f t="shared" si="6"/>
        <v>8500</v>
      </c>
      <c r="L23" s="15">
        <f t="shared" si="7"/>
        <v>10000</v>
      </c>
    </row>
    <row r="24" spans="1:12" x14ac:dyDescent="0.25">
      <c r="A24" s="11" t="s">
        <v>116</v>
      </c>
      <c r="B24" s="9"/>
      <c r="C24" s="15">
        <f>500</f>
        <v>500</v>
      </c>
      <c r="D24" s="10"/>
      <c r="E24" s="10"/>
      <c r="F24" s="10"/>
      <c r="G24" s="10"/>
      <c r="H24" s="10"/>
      <c r="I24" s="10"/>
      <c r="J24" s="10"/>
      <c r="K24" s="15">
        <f t="shared" si="6"/>
        <v>0</v>
      </c>
      <c r="L24" s="15">
        <f t="shared" si="7"/>
        <v>500</v>
      </c>
    </row>
    <row r="25" spans="1:12" x14ac:dyDescent="0.25">
      <c r="A25" s="11" t="s">
        <v>114</v>
      </c>
      <c r="B25" s="9"/>
      <c r="C25" s="10"/>
      <c r="D25" s="10"/>
      <c r="E25" s="10"/>
      <c r="F25" s="10"/>
      <c r="G25" s="10"/>
      <c r="H25" s="10"/>
      <c r="I25" s="10"/>
      <c r="J25" s="10"/>
      <c r="K25" s="15">
        <f t="shared" si="6"/>
        <v>0</v>
      </c>
      <c r="L25" s="15">
        <f t="shared" si="7"/>
        <v>0</v>
      </c>
    </row>
    <row r="26" spans="1:12" x14ac:dyDescent="0.25">
      <c r="A26" s="11" t="s">
        <v>113</v>
      </c>
      <c r="B26" s="9"/>
      <c r="C26" s="15">
        <f>2829.38</f>
        <v>2829.38</v>
      </c>
      <c r="D26" s="10"/>
      <c r="E26" s="10"/>
      <c r="F26" s="10"/>
      <c r="G26" s="10"/>
      <c r="H26" s="10"/>
      <c r="I26" s="10"/>
      <c r="J26" s="10"/>
      <c r="K26" s="15">
        <f t="shared" si="6"/>
        <v>0</v>
      </c>
      <c r="L26" s="15">
        <f t="shared" si="7"/>
        <v>2829.38</v>
      </c>
    </row>
    <row r="27" spans="1:12" x14ac:dyDescent="0.25">
      <c r="A27" s="11" t="s">
        <v>112</v>
      </c>
      <c r="B27" s="9"/>
      <c r="C27" s="15">
        <f>31004.5</f>
        <v>31004.5</v>
      </c>
      <c r="D27" s="10"/>
      <c r="E27" s="10"/>
      <c r="F27" s="10"/>
      <c r="G27" s="10"/>
      <c r="H27" s="10"/>
      <c r="I27" s="15">
        <f>23815.8</f>
        <v>23815.8</v>
      </c>
      <c r="J27" s="10"/>
      <c r="K27" s="15">
        <f t="shared" si="6"/>
        <v>23815.8</v>
      </c>
      <c r="L27" s="15">
        <f t="shared" si="7"/>
        <v>54820.3</v>
      </c>
    </row>
    <row r="28" spans="1:12" x14ac:dyDescent="0.25">
      <c r="A28" s="11" t="s">
        <v>111</v>
      </c>
      <c r="B28" s="9"/>
      <c r="C28" s="10"/>
      <c r="D28" s="10"/>
      <c r="E28" s="10"/>
      <c r="F28" s="10"/>
      <c r="G28" s="10"/>
      <c r="H28" s="10"/>
      <c r="I28" s="15">
        <f>418.88</f>
        <v>418.88</v>
      </c>
      <c r="J28" s="10"/>
      <c r="K28" s="15">
        <f t="shared" si="6"/>
        <v>418.88</v>
      </c>
      <c r="L28" s="15">
        <f t="shared" si="7"/>
        <v>418.88</v>
      </c>
    </row>
    <row r="29" spans="1:12" x14ac:dyDescent="0.25">
      <c r="A29" s="11" t="s">
        <v>110</v>
      </c>
      <c r="B29" s="9"/>
      <c r="C29" s="15">
        <f>3037.11</f>
        <v>3037.11</v>
      </c>
      <c r="D29" s="10"/>
      <c r="E29" s="10"/>
      <c r="F29" s="10"/>
      <c r="G29" s="10"/>
      <c r="H29" s="10"/>
      <c r="I29" s="15">
        <f>2677.55</f>
        <v>2677.55</v>
      </c>
      <c r="J29" s="10"/>
      <c r="K29" s="15">
        <f t="shared" si="6"/>
        <v>2677.55</v>
      </c>
      <c r="L29" s="15">
        <f t="shared" si="7"/>
        <v>5714.66</v>
      </c>
    </row>
    <row r="30" spans="1:12" x14ac:dyDescent="0.25">
      <c r="A30" s="11" t="s">
        <v>109</v>
      </c>
      <c r="B30" s="18">
        <f t="shared" ref="B30:J30" si="8">((((B25)+(B26))+(B27))+(B28))+(B29)</f>
        <v>0</v>
      </c>
      <c r="C30" s="13">
        <f t="shared" si="8"/>
        <v>36870.99</v>
      </c>
      <c r="D30" s="13">
        <f t="shared" si="8"/>
        <v>0</v>
      </c>
      <c r="E30" s="13">
        <f t="shared" si="8"/>
        <v>0</v>
      </c>
      <c r="F30" s="13">
        <f t="shared" si="8"/>
        <v>0</v>
      </c>
      <c r="G30" s="13">
        <f t="shared" si="8"/>
        <v>0</v>
      </c>
      <c r="H30" s="13">
        <f t="shared" si="8"/>
        <v>0</v>
      </c>
      <c r="I30" s="13">
        <f t="shared" si="8"/>
        <v>26912.23</v>
      </c>
      <c r="J30" s="13">
        <f t="shared" si="8"/>
        <v>0</v>
      </c>
      <c r="K30" s="13">
        <f t="shared" si="6"/>
        <v>26912.23</v>
      </c>
      <c r="L30" s="13">
        <f t="shared" si="7"/>
        <v>63783.22</v>
      </c>
    </row>
    <row r="31" spans="1:12" x14ac:dyDescent="0.25">
      <c r="A31" s="11" t="s">
        <v>108</v>
      </c>
      <c r="B31" s="9"/>
      <c r="C31" s="10"/>
      <c r="D31" s="10"/>
      <c r="E31" s="10"/>
      <c r="F31" s="10"/>
      <c r="G31" s="10"/>
      <c r="H31" s="10"/>
      <c r="I31" s="10"/>
      <c r="J31" s="10"/>
      <c r="K31" s="15">
        <f t="shared" si="6"/>
        <v>0</v>
      </c>
      <c r="L31" s="15">
        <f t="shared" si="7"/>
        <v>0</v>
      </c>
    </row>
    <row r="32" spans="1:12" x14ac:dyDescent="0.25">
      <c r="A32" s="11" t="s">
        <v>107</v>
      </c>
      <c r="B32" s="9"/>
      <c r="C32" s="15">
        <f>1100</f>
        <v>1100</v>
      </c>
      <c r="D32" s="10"/>
      <c r="E32" s="10"/>
      <c r="F32" s="10"/>
      <c r="G32" s="10"/>
      <c r="H32" s="10"/>
      <c r="I32" s="15">
        <f>9900</f>
        <v>9900</v>
      </c>
      <c r="J32" s="10"/>
      <c r="K32" s="15">
        <f t="shared" si="6"/>
        <v>9900</v>
      </c>
      <c r="L32" s="15">
        <f t="shared" si="7"/>
        <v>11000</v>
      </c>
    </row>
    <row r="33" spans="1:12" x14ac:dyDescent="0.25">
      <c r="A33" s="11" t="s">
        <v>106</v>
      </c>
      <c r="B33" s="9"/>
      <c r="C33" s="10"/>
      <c r="D33" s="10"/>
      <c r="E33" s="10"/>
      <c r="F33" s="10"/>
      <c r="G33" s="10"/>
      <c r="H33" s="10"/>
      <c r="I33" s="15">
        <f>2800</f>
        <v>2800</v>
      </c>
      <c r="J33" s="10"/>
      <c r="K33" s="15">
        <f t="shared" si="6"/>
        <v>2800</v>
      </c>
      <c r="L33" s="15">
        <f t="shared" si="7"/>
        <v>2800</v>
      </c>
    </row>
    <row r="34" spans="1:12" x14ac:dyDescent="0.25">
      <c r="A34" s="11" t="s">
        <v>105</v>
      </c>
      <c r="B34" s="9"/>
      <c r="C34" s="15">
        <f>7333.38</f>
        <v>7333.38</v>
      </c>
      <c r="D34" s="10"/>
      <c r="E34" s="10"/>
      <c r="F34" s="10"/>
      <c r="G34" s="10"/>
      <c r="H34" s="10"/>
      <c r="I34" s="10"/>
      <c r="J34" s="10"/>
      <c r="K34" s="15">
        <f t="shared" si="6"/>
        <v>0</v>
      </c>
      <c r="L34" s="15">
        <f t="shared" si="7"/>
        <v>7333.38</v>
      </c>
    </row>
    <row r="35" spans="1:12" x14ac:dyDescent="0.25">
      <c r="A35" s="11" t="s">
        <v>104</v>
      </c>
      <c r="B35" s="18">
        <f t="shared" ref="B35:J35" si="9">(((B31)+(B32))+(B33))+(B34)</f>
        <v>0</v>
      </c>
      <c r="C35" s="13">
        <f t="shared" si="9"/>
        <v>8433.380000000001</v>
      </c>
      <c r="D35" s="13">
        <f t="shared" si="9"/>
        <v>0</v>
      </c>
      <c r="E35" s="13">
        <f t="shared" si="9"/>
        <v>0</v>
      </c>
      <c r="F35" s="13">
        <f t="shared" si="9"/>
        <v>0</v>
      </c>
      <c r="G35" s="13">
        <f t="shared" si="9"/>
        <v>0</v>
      </c>
      <c r="H35" s="13">
        <f t="shared" si="9"/>
        <v>0</v>
      </c>
      <c r="I35" s="13">
        <f t="shared" si="9"/>
        <v>12700</v>
      </c>
      <c r="J35" s="13">
        <f t="shared" si="9"/>
        <v>0</v>
      </c>
      <c r="K35" s="13">
        <f t="shared" si="6"/>
        <v>12700</v>
      </c>
      <c r="L35" s="13">
        <f t="shared" si="7"/>
        <v>21133.38</v>
      </c>
    </row>
    <row r="36" spans="1:12" x14ac:dyDescent="0.25">
      <c r="A36" s="11" t="s">
        <v>103</v>
      </c>
      <c r="B36" s="9"/>
      <c r="C36" s="10"/>
      <c r="D36" s="10"/>
      <c r="E36" s="10"/>
      <c r="F36" s="10"/>
      <c r="G36" s="10"/>
      <c r="H36" s="10"/>
      <c r="I36" s="10"/>
      <c r="J36" s="10"/>
      <c r="K36" s="15">
        <f t="shared" si="6"/>
        <v>0</v>
      </c>
      <c r="L36" s="15">
        <f t="shared" si="7"/>
        <v>0</v>
      </c>
    </row>
    <row r="37" spans="1:12" x14ac:dyDescent="0.25">
      <c r="A37" s="11" t="s">
        <v>102</v>
      </c>
      <c r="B37" s="9"/>
      <c r="C37" s="10"/>
      <c r="D37" s="10"/>
      <c r="E37" s="10"/>
      <c r="F37" s="10"/>
      <c r="G37" s="10"/>
      <c r="H37" s="10"/>
      <c r="I37" s="10"/>
      <c r="J37" s="15">
        <f>0</f>
        <v>0</v>
      </c>
      <c r="K37" s="15">
        <f t="shared" si="6"/>
        <v>0</v>
      </c>
      <c r="L37" s="15">
        <f t="shared" si="7"/>
        <v>0</v>
      </c>
    </row>
    <row r="38" spans="1:12" x14ac:dyDescent="0.25">
      <c r="A38" s="11" t="s">
        <v>101</v>
      </c>
      <c r="B38" s="9"/>
      <c r="C38" s="15">
        <f>2775.32</f>
        <v>2775.32</v>
      </c>
      <c r="D38" s="10"/>
      <c r="E38" s="10"/>
      <c r="F38" s="10"/>
      <c r="G38" s="15">
        <f>-22</f>
        <v>-22</v>
      </c>
      <c r="H38" s="10"/>
      <c r="I38" s="15">
        <f>2775.3</f>
        <v>2775.3</v>
      </c>
      <c r="J38" s="10"/>
      <c r="K38" s="15">
        <f t="shared" si="6"/>
        <v>2753.3</v>
      </c>
      <c r="L38" s="15">
        <f t="shared" si="7"/>
        <v>5528.6200000000008</v>
      </c>
    </row>
    <row r="39" spans="1:12" x14ac:dyDescent="0.25">
      <c r="A39" s="11" t="s">
        <v>100</v>
      </c>
      <c r="B39" s="18">
        <f t="shared" ref="B39:J39" si="10">((B36)+(B37))+(B38)</f>
        <v>0</v>
      </c>
      <c r="C39" s="13">
        <f t="shared" si="10"/>
        <v>2775.32</v>
      </c>
      <c r="D39" s="13">
        <f t="shared" si="10"/>
        <v>0</v>
      </c>
      <c r="E39" s="13">
        <f t="shared" si="10"/>
        <v>0</v>
      </c>
      <c r="F39" s="13">
        <f t="shared" si="10"/>
        <v>0</v>
      </c>
      <c r="G39" s="13">
        <f t="shared" si="10"/>
        <v>-22</v>
      </c>
      <c r="H39" s="13">
        <f t="shared" si="10"/>
        <v>0</v>
      </c>
      <c r="I39" s="13">
        <f t="shared" si="10"/>
        <v>2775.3</v>
      </c>
      <c r="J39" s="13">
        <f t="shared" si="10"/>
        <v>0</v>
      </c>
      <c r="K39" s="13">
        <f t="shared" si="6"/>
        <v>2753.3</v>
      </c>
      <c r="L39" s="13">
        <f t="shared" si="7"/>
        <v>5528.6200000000008</v>
      </c>
    </row>
    <row r="40" spans="1:12" x14ac:dyDescent="0.25">
      <c r="A40" s="11" t="s">
        <v>99</v>
      </c>
      <c r="B40" s="9"/>
      <c r="C40" s="10"/>
      <c r="D40" s="10"/>
      <c r="E40" s="10"/>
      <c r="F40" s="10"/>
      <c r="G40" s="10"/>
      <c r="H40" s="10"/>
      <c r="I40" s="10"/>
      <c r="J40" s="10"/>
      <c r="K40" s="15">
        <f t="shared" si="6"/>
        <v>0</v>
      </c>
      <c r="L40" s="15">
        <f t="shared" si="7"/>
        <v>0</v>
      </c>
    </row>
    <row r="41" spans="1:12" x14ac:dyDescent="0.25">
      <c r="A41" s="11" t="s">
        <v>98</v>
      </c>
      <c r="B41" s="9"/>
      <c r="C41" s="10"/>
      <c r="D41" s="10"/>
      <c r="E41" s="10"/>
      <c r="F41" s="10"/>
      <c r="G41" s="10"/>
      <c r="H41" s="10"/>
      <c r="I41" s="15">
        <f>30.5</f>
        <v>30.5</v>
      </c>
      <c r="J41" s="10"/>
      <c r="K41" s="15">
        <f t="shared" si="6"/>
        <v>30.5</v>
      </c>
      <c r="L41" s="15">
        <f t="shared" si="7"/>
        <v>30.5</v>
      </c>
    </row>
    <row r="42" spans="1:12" x14ac:dyDescent="0.25">
      <c r="A42" s="11" t="s">
        <v>97</v>
      </c>
      <c r="B42" s="9"/>
      <c r="C42" s="15">
        <f>348.85</f>
        <v>348.85</v>
      </c>
      <c r="D42" s="10"/>
      <c r="E42" s="10"/>
      <c r="F42" s="10"/>
      <c r="G42" s="10"/>
      <c r="H42" s="10"/>
      <c r="I42" s="10"/>
      <c r="J42" s="10"/>
      <c r="K42" s="15">
        <f t="shared" si="6"/>
        <v>0</v>
      </c>
      <c r="L42" s="15">
        <f t="shared" si="7"/>
        <v>348.85</v>
      </c>
    </row>
    <row r="43" spans="1:12" x14ac:dyDescent="0.25">
      <c r="A43" s="11" t="s">
        <v>96</v>
      </c>
      <c r="B43" s="9"/>
      <c r="C43" s="15">
        <f>138.33</f>
        <v>138.33000000000001</v>
      </c>
      <c r="D43" s="10"/>
      <c r="E43" s="10"/>
      <c r="F43" s="10"/>
      <c r="G43" s="10"/>
      <c r="H43" s="10"/>
      <c r="I43" s="10"/>
      <c r="J43" s="10"/>
      <c r="K43" s="15">
        <f t="shared" si="6"/>
        <v>0</v>
      </c>
      <c r="L43" s="15">
        <f t="shared" si="7"/>
        <v>138.33000000000001</v>
      </c>
    </row>
    <row r="44" spans="1:12" x14ac:dyDescent="0.25">
      <c r="A44" s="11" t="s">
        <v>95</v>
      </c>
      <c r="B44" s="9"/>
      <c r="C44" s="10"/>
      <c r="D44" s="10"/>
      <c r="E44" s="10"/>
      <c r="F44" s="10"/>
      <c r="G44" s="10"/>
      <c r="H44" s="10"/>
      <c r="I44" s="15">
        <f>628.62</f>
        <v>628.62</v>
      </c>
      <c r="J44" s="10"/>
      <c r="K44" s="15">
        <f t="shared" si="6"/>
        <v>628.62</v>
      </c>
      <c r="L44" s="15">
        <f t="shared" si="7"/>
        <v>628.62</v>
      </c>
    </row>
    <row r="45" spans="1:12" x14ac:dyDescent="0.25">
      <c r="A45" s="11" t="s">
        <v>94</v>
      </c>
      <c r="B45" s="9"/>
      <c r="C45" s="10"/>
      <c r="D45" s="10"/>
      <c r="E45" s="10"/>
      <c r="F45" s="10"/>
      <c r="G45" s="10"/>
      <c r="H45" s="10"/>
      <c r="I45" s="15">
        <f>50</f>
        <v>50</v>
      </c>
      <c r="J45" s="10"/>
      <c r="K45" s="15">
        <f t="shared" si="6"/>
        <v>50</v>
      </c>
      <c r="L45" s="15">
        <f t="shared" si="7"/>
        <v>50</v>
      </c>
    </row>
    <row r="46" spans="1:12" x14ac:dyDescent="0.25">
      <c r="A46" s="11" t="s">
        <v>93</v>
      </c>
      <c r="B46" s="9"/>
      <c r="C46" s="15">
        <f>491.95</f>
        <v>491.95</v>
      </c>
      <c r="D46" s="10"/>
      <c r="E46" s="10"/>
      <c r="F46" s="10"/>
      <c r="G46" s="10"/>
      <c r="H46" s="10"/>
      <c r="I46" s="15">
        <f>372.1</f>
        <v>372.1</v>
      </c>
      <c r="J46" s="10"/>
      <c r="K46" s="15">
        <f t="shared" si="6"/>
        <v>372.1</v>
      </c>
      <c r="L46" s="15">
        <f t="shared" si="7"/>
        <v>864.05</v>
      </c>
    </row>
    <row r="47" spans="1:12" x14ac:dyDescent="0.25">
      <c r="A47" s="11" t="s">
        <v>92</v>
      </c>
      <c r="B47" s="18">
        <f t="shared" ref="B47:J47" si="11">((((((B40)+(B41))+(B42))+(B43))+(B44))+(B45))+(B46)</f>
        <v>0</v>
      </c>
      <c r="C47" s="13">
        <f t="shared" si="11"/>
        <v>979.13000000000011</v>
      </c>
      <c r="D47" s="13">
        <f t="shared" si="11"/>
        <v>0</v>
      </c>
      <c r="E47" s="13">
        <f t="shared" si="11"/>
        <v>0</v>
      </c>
      <c r="F47" s="13">
        <f t="shared" si="11"/>
        <v>0</v>
      </c>
      <c r="G47" s="13">
        <f t="shared" si="11"/>
        <v>0</v>
      </c>
      <c r="H47" s="13">
        <f t="shared" si="11"/>
        <v>0</v>
      </c>
      <c r="I47" s="13">
        <f t="shared" si="11"/>
        <v>1081.22</v>
      </c>
      <c r="J47" s="13">
        <f t="shared" si="11"/>
        <v>0</v>
      </c>
      <c r="K47" s="13">
        <f t="shared" si="6"/>
        <v>1081.22</v>
      </c>
      <c r="L47" s="13">
        <f t="shared" si="7"/>
        <v>2060.3500000000004</v>
      </c>
    </row>
    <row r="48" spans="1:12" x14ac:dyDescent="0.25">
      <c r="A48" s="11" t="s">
        <v>91</v>
      </c>
      <c r="B48" s="9"/>
      <c r="C48" s="10"/>
      <c r="D48" s="10"/>
      <c r="E48" s="10"/>
      <c r="F48" s="10"/>
      <c r="G48" s="10"/>
      <c r="H48" s="10"/>
      <c r="I48" s="10"/>
      <c r="J48" s="10"/>
      <c r="K48" s="15">
        <f t="shared" si="6"/>
        <v>0</v>
      </c>
      <c r="L48" s="15">
        <f t="shared" si="7"/>
        <v>0</v>
      </c>
    </row>
    <row r="49" spans="1:12" x14ac:dyDescent="0.25">
      <c r="A49" s="11" t="s">
        <v>90</v>
      </c>
      <c r="B49" s="9"/>
      <c r="C49" s="15">
        <f>437.5</f>
        <v>437.5</v>
      </c>
      <c r="D49" s="10"/>
      <c r="E49" s="10"/>
      <c r="F49" s="10"/>
      <c r="G49" s="10"/>
      <c r="H49" s="10"/>
      <c r="I49" s="10"/>
      <c r="J49" s="10"/>
      <c r="K49" s="15">
        <f t="shared" si="6"/>
        <v>0</v>
      </c>
      <c r="L49" s="15">
        <f t="shared" si="7"/>
        <v>437.5</v>
      </c>
    </row>
    <row r="50" spans="1:12" x14ac:dyDescent="0.25">
      <c r="A50" s="11" t="s">
        <v>89</v>
      </c>
      <c r="B50" s="9"/>
      <c r="C50" s="15">
        <f>1918.75</f>
        <v>1918.75</v>
      </c>
      <c r="D50" s="10"/>
      <c r="E50" s="10"/>
      <c r="F50" s="10"/>
      <c r="G50" s="10"/>
      <c r="H50" s="10"/>
      <c r="I50" s="10"/>
      <c r="J50" s="15">
        <f>60</f>
        <v>60</v>
      </c>
      <c r="K50" s="15">
        <f t="shared" si="6"/>
        <v>60</v>
      </c>
      <c r="L50" s="15">
        <f t="shared" si="7"/>
        <v>1978.75</v>
      </c>
    </row>
    <row r="51" spans="1:12" x14ac:dyDescent="0.25">
      <c r="A51" s="11" t="s">
        <v>86</v>
      </c>
      <c r="B51" s="18">
        <f t="shared" ref="B51:J51" si="12">((B48)+(B49))+(B50)</f>
        <v>0</v>
      </c>
      <c r="C51" s="13">
        <f t="shared" si="12"/>
        <v>2356.25</v>
      </c>
      <c r="D51" s="13">
        <f t="shared" si="12"/>
        <v>0</v>
      </c>
      <c r="E51" s="13">
        <f t="shared" si="12"/>
        <v>0</v>
      </c>
      <c r="F51" s="13">
        <f t="shared" si="12"/>
        <v>0</v>
      </c>
      <c r="G51" s="13">
        <f t="shared" si="12"/>
        <v>0</v>
      </c>
      <c r="H51" s="13">
        <f t="shared" si="12"/>
        <v>0</v>
      </c>
      <c r="I51" s="13">
        <f t="shared" si="12"/>
        <v>0</v>
      </c>
      <c r="J51" s="13">
        <f t="shared" si="12"/>
        <v>60</v>
      </c>
      <c r="K51" s="13">
        <f t="shared" si="6"/>
        <v>60</v>
      </c>
      <c r="L51" s="13">
        <f t="shared" si="7"/>
        <v>2416.25</v>
      </c>
    </row>
    <row r="52" spans="1:12" x14ac:dyDescent="0.25">
      <c r="A52" s="11" t="s">
        <v>85</v>
      </c>
      <c r="B52" s="9"/>
      <c r="C52" s="10"/>
      <c r="D52" s="10"/>
      <c r="E52" s="10"/>
      <c r="F52" s="10"/>
      <c r="G52" s="10"/>
      <c r="H52" s="10"/>
      <c r="I52" s="10"/>
      <c r="J52" s="15">
        <f>9100</f>
        <v>9100</v>
      </c>
      <c r="K52" s="15">
        <f t="shared" si="6"/>
        <v>9100</v>
      </c>
      <c r="L52" s="15">
        <f t="shared" si="7"/>
        <v>9100</v>
      </c>
    </row>
    <row r="53" spans="1:12" x14ac:dyDescent="0.25">
      <c r="A53" s="11" t="s">
        <v>84</v>
      </c>
      <c r="B53" s="18">
        <f t="shared" ref="B53:J53" si="13">((((((((((((B18)+(B19))+(B20))+(B21))+(B22))+(B23))+(B24))+(B30))+(B35))+(B39))+(B47))+(B51))+(B52)</f>
        <v>0</v>
      </c>
      <c r="C53" s="13">
        <f t="shared" si="13"/>
        <v>54497.539999999994</v>
      </c>
      <c r="D53" s="13">
        <f t="shared" si="13"/>
        <v>0</v>
      </c>
      <c r="E53" s="13">
        <f t="shared" si="13"/>
        <v>0</v>
      </c>
      <c r="F53" s="13">
        <f t="shared" si="13"/>
        <v>87.13</v>
      </c>
      <c r="G53" s="13">
        <f t="shared" si="13"/>
        <v>-22</v>
      </c>
      <c r="H53" s="13">
        <f t="shared" si="13"/>
        <v>79.97</v>
      </c>
      <c r="I53" s="13">
        <f t="shared" si="13"/>
        <v>44955.19</v>
      </c>
      <c r="J53" s="13">
        <f t="shared" si="13"/>
        <v>17660</v>
      </c>
      <c r="K53" s="13">
        <f t="shared" si="6"/>
        <v>62673.16</v>
      </c>
      <c r="L53" s="13">
        <f t="shared" si="7"/>
        <v>117257.82999999999</v>
      </c>
    </row>
    <row r="54" spans="1:12" x14ac:dyDescent="0.25">
      <c r="A54" s="11" t="s">
        <v>83</v>
      </c>
      <c r="B54" s="18">
        <f t="shared" ref="B54:J54" si="14">(B16)-(B53)</f>
        <v>0</v>
      </c>
      <c r="C54" s="13">
        <f t="shared" si="14"/>
        <v>-33664.189999999995</v>
      </c>
      <c r="D54" s="13">
        <f t="shared" si="14"/>
        <v>0</v>
      </c>
      <c r="E54" s="13">
        <f t="shared" si="14"/>
        <v>0</v>
      </c>
      <c r="F54" s="13">
        <f t="shared" si="14"/>
        <v>-87.13</v>
      </c>
      <c r="G54" s="13">
        <f t="shared" si="14"/>
        <v>93620.800000000003</v>
      </c>
      <c r="H54" s="13">
        <f t="shared" si="14"/>
        <v>-79.97</v>
      </c>
      <c r="I54" s="13">
        <f t="shared" si="14"/>
        <v>-44955.19</v>
      </c>
      <c r="J54" s="13">
        <f t="shared" si="14"/>
        <v>-17660</v>
      </c>
      <c r="K54" s="13">
        <f t="shared" si="6"/>
        <v>30925.64</v>
      </c>
      <c r="L54" s="13">
        <f t="shared" si="7"/>
        <v>-2825.679999999993</v>
      </c>
    </row>
    <row r="55" spans="1:12" x14ac:dyDescent="0.25">
      <c r="A55" s="11" t="s">
        <v>82</v>
      </c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5">
      <c r="A56" s="11" t="s">
        <v>81</v>
      </c>
      <c r="B56" s="19">
        <f>-137000</f>
        <v>-137000</v>
      </c>
      <c r="C56" s="10"/>
      <c r="D56" s="15">
        <f>0</f>
        <v>0</v>
      </c>
      <c r="E56" s="15">
        <f>585076.49</f>
        <v>585076.49</v>
      </c>
      <c r="F56" s="15">
        <f>188501.51</f>
        <v>188501.51</v>
      </c>
      <c r="G56" s="10"/>
      <c r="H56" s="10"/>
      <c r="I56" s="10"/>
      <c r="J56" s="10"/>
      <c r="K56" s="15">
        <f t="shared" ref="K56:K63" si="15">(((G56)+(H56))+(I56))+(J56)</f>
        <v>0</v>
      </c>
      <c r="L56" s="15">
        <f t="shared" ref="L56:L63" si="16">(((((B56)+(C56))+(D56))+(E56))+(F56))+(K56)</f>
        <v>636578</v>
      </c>
    </row>
    <row r="57" spans="1:12" x14ac:dyDescent="0.25">
      <c r="A57" s="11" t="s">
        <v>80</v>
      </c>
      <c r="B57" s="9"/>
      <c r="C57" s="10"/>
      <c r="D57" s="10"/>
      <c r="E57" s="10"/>
      <c r="F57" s="10"/>
      <c r="G57" s="10"/>
      <c r="H57" s="10"/>
      <c r="I57" s="10"/>
      <c r="J57" s="10"/>
      <c r="K57" s="15">
        <f t="shared" si="15"/>
        <v>0</v>
      </c>
      <c r="L57" s="15">
        <f t="shared" si="16"/>
        <v>0</v>
      </c>
    </row>
    <row r="58" spans="1:12" x14ac:dyDescent="0.25">
      <c r="A58" s="11" t="s">
        <v>79</v>
      </c>
      <c r="B58" s="9"/>
      <c r="C58" s="10"/>
      <c r="D58" s="15">
        <f>37643.26</f>
        <v>37643.26</v>
      </c>
      <c r="E58" s="15">
        <f>32353.75</f>
        <v>32353.75</v>
      </c>
      <c r="F58" s="15">
        <f>2330.66</f>
        <v>2330.66</v>
      </c>
      <c r="G58" s="10"/>
      <c r="H58" s="10"/>
      <c r="I58" s="10"/>
      <c r="J58" s="10"/>
      <c r="K58" s="15">
        <f t="shared" si="15"/>
        <v>0</v>
      </c>
      <c r="L58" s="15">
        <f t="shared" si="16"/>
        <v>72327.670000000013</v>
      </c>
    </row>
    <row r="59" spans="1:12" x14ac:dyDescent="0.25">
      <c r="A59" s="11" t="s">
        <v>78</v>
      </c>
      <c r="B59" s="9"/>
      <c r="C59" s="10"/>
      <c r="D59" s="15">
        <f>0</f>
        <v>0</v>
      </c>
      <c r="E59" s="15">
        <f>0</f>
        <v>0</v>
      </c>
      <c r="F59" s="15">
        <f>0</f>
        <v>0</v>
      </c>
      <c r="G59" s="10"/>
      <c r="H59" s="10"/>
      <c r="I59" s="10"/>
      <c r="J59" s="10"/>
      <c r="K59" s="15">
        <f t="shared" si="15"/>
        <v>0</v>
      </c>
      <c r="L59" s="15">
        <f t="shared" si="16"/>
        <v>0</v>
      </c>
    </row>
    <row r="60" spans="1:12" x14ac:dyDescent="0.25">
      <c r="A60" s="11" t="s">
        <v>77</v>
      </c>
      <c r="B60" s="9"/>
      <c r="C60" s="10"/>
      <c r="D60" s="15">
        <f>36824.18</f>
        <v>36824.18</v>
      </c>
      <c r="E60" s="15">
        <f>34250.19</f>
        <v>34250.19</v>
      </c>
      <c r="F60" s="15">
        <f>1855.84</f>
        <v>1855.84</v>
      </c>
      <c r="G60" s="10"/>
      <c r="H60" s="10"/>
      <c r="I60" s="10"/>
      <c r="J60" s="10"/>
      <c r="K60" s="15">
        <f t="shared" si="15"/>
        <v>0</v>
      </c>
      <c r="L60" s="15">
        <f t="shared" si="16"/>
        <v>72930.209999999992</v>
      </c>
    </row>
    <row r="61" spans="1:12" x14ac:dyDescent="0.25">
      <c r="A61" s="11" t="s">
        <v>76</v>
      </c>
      <c r="B61" s="9"/>
      <c r="C61" s="10"/>
      <c r="D61" s="15">
        <f>-26267.01</f>
        <v>-26267.01</v>
      </c>
      <c r="E61" s="15">
        <f>-23135.12</f>
        <v>-23135.119999999999</v>
      </c>
      <c r="F61" s="15">
        <f>0</f>
        <v>0</v>
      </c>
      <c r="G61" s="10"/>
      <c r="H61" s="10"/>
      <c r="I61" s="10"/>
      <c r="J61" s="10"/>
      <c r="K61" s="15">
        <f t="shared" si="15"/>
        <v>0</v>
      </c>
      <c r="L61" s="15">
        <f t="shared" si="16"/>
        <v>-49402.13</v>
      </c>
    </row>
    <row r="62" spans="1:12" x14ac:dyDescent="0.25">
      <c r="A62" s="11" t="s">
        <v>75</v>
      </c>
      <c r="B62" s="18">
        <f t="shared" ref="B62:J62" si="17">((((B57)+(B58))+(B59))+(B60))+(B61)</f>
        <v>0</v>
      </c>
      <c r="C62" s="13">
        <f t="shared" si="17"/>
        <v>0</v>
      </c>
      <c r="D62" s="13">
        <f t="shared" si="17"/>
        <v>48200.430000000008</v>
      </c>
      <c r="E62" s="13">
        <f t="shared" si="17"/>
        <v>43468.820000000007</v>
      </c>
      <c r="F62" s="13">
        <f t="shared" si="17"/>
        <v>4186.5</v>
      </c>
      <c r="G62" s="13">
        <f t="shared" si="17"/>
        <v>0</v>
      </c>
      <c r="H62" s="13">
        <f t="shared" si="17"/>
        <v>0</v>
      </c>
      <c r="I62" s="13">
        <f t="shared" si="17"/>
        <v>0</v>
      </c>
      <c r="J62" s="13">
        <f t="shared" si="17"/>
        <v>0</v>
      </c>
      <c r="K62" s="13">
        <f t="shared" si="15"/>
        <v>0</v>
      </c>
      <c r="L62" s="13">
        <f t="shared" si="16"/>
        <v>95855.750000000015</v>
      </c>
    </row>
    <row r="63" spans="1:12" x14ac:dyDescent="0.25">
      <c r="A63" s="11" t="s">
        <v>74</v>
      </c>
      <c r="B63" s="18">
        <f t="shared" ref="B63:J63" si="18">(B56)+(B62)</f>
        <v>-137000</v>
      </c>
      <c r="C63" s="13">
        <f t="shared" si="18"/>
        <v>0</v>
      </c>
      <c r="D63" s="13">
        <f t="shared" si="18"/>
        <v>48200.430000000008</v>
      </c>
      <c r="E63" s="13">
        <f t="shared" si="18"/>
        <v>628545.31000000006</v>
      </c>
      <c r="F63" s="13">
        <f t="shared" si="18"/>
        <v>192688.01</v>
      </c>
      <c r="G63" s="13">
        <f t="shared" si="18"/>
        <v>0</v>
      </c>
      <c r="H63" s="13">
        <f t="shared" si="18"/>
        <v>0</v>
      </c>
      <c r="I63" s="13">
        <f t="shared" si="18"/>
        <v>0</v>
      </c>
      <c r="J63" s="13">
        <f t="shared" si="18"/>
        <v>0</v>
      </c>
      <c r="K63" s="13">
        <f t="shared" si="15"/>
        <v>0</v>
      </c>
      <c r="L63" s="13">
        <f t="shared" si="16"/>
        <v>732433.75000000012</v>
      </c>
    </row>
    <row r="64" spans="1:12" x14ac:dyDescent="0.25">
      <c r="A64" s="11" t="s">
        <v>73</v>
      </c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5">
      <c r="A65" s="11" t="s">
        <v>72</v>
      </c>
      <c r="B65" s="19">
        <f>-68299.32</f>
        <v>-68299.320000000007</v>
      </c>
      <c r="C65" s="10"/>
      <c r="D65" s="15">
        <f>650</f>
        <v>650</v>
      </c>
      <c r="E65" s="15">
        <f>639899.38</f>
        <v>639899.38</v>
      </c>
      <c r="F65" s="15">
        <f>343394.95</f>
        <v>343394.95</v>
      </c>
      <c r="G65" s="15">
        <f>-12500</f>
        <v>-12500</v>
      </c>
      <c r="H65" s="10"/>
      <c r="I65" s="10"/>
      <c r="J65" s="10"/>
      <c r="K65" s="15">
        <f>(((G65)+(H65))+(I65))+(J65)</f>
        <v>-12500</v>
      </c>
      <c r="L65" s="15">
        <f>(((((B65)+(C65))+(D65))+(E65))+(F65))+(K65)</f>
        <v>903145.01</v>
      </c>
    </row>
    <row r="66" spans="1:12" x14ac:dyDescent="0.25">
      <c r="A66" s="11" t="s">
        <v>71</v>
      </c>
      <c r="B66" s="18">
        <f t="shared" ref="B66:J66" si="19">B65</f>
        <v>-68299.320000000007</v>
      </c>
      <c r="C66" s="13">
        <f t="shared" si="19"/>
        <v>0</v>
      </c>
      <c r="D66" s="13">
        <f t="shared" si="19"/>
        <v>650</v>
      </c>
      <c r="E66" s="13">
        <f t="shared" si="19"/>
        <v>639899.38</v>
      </c>
      <c r="F66" s="13">
        <f t="shared" si="19"/>
        <v>343394.95</v>
      </c>
      <c r="G66" s="13">
        <f t="shared" si="19"/>
        <v>-12500</v>
      </c>
      <c r="H66" s="13">
        <f t="shared" si="19"/>
        <v>0</v>
      </c>
      <c r="I66" s="13">
        <f t="shared" si="19"/>
        <v>0</v>
      </c>
      <c r="J66" s="13">
        <f t="shared" si="19"/>
        <v>0</v>
      </c>
      <c r="K66" s="13">
        <f>(((G66)+(H66))+(I66))+(J66)</f>
        <v>-12500</v>
      </c>
      <c r="L66" s="13">
        <f>(((((B66)+(C66))+(D66))+(E66))+(F66))+(K66)</f>
        <v>903145.01</v>
      </c>
    </row>
    <row r="67" spans="1:12" x14ac:dyDescent="0.25">
      <c r="A67" s="11" t="s">
        <v>70</v>
      </c>
      <c r="B67" s="18">
        <f t="shared" ref="B67:J67" si="20">(B63)-(B66)</f>
        <v>-68700.679999999993</v>
      </c>
      <c r="C67" s="13">
        <f t="shared" si="20"/>
        <v>0</v>
      </c>
      <c r="D67" s="13">
        <f t="shared" si="20"/>
        <v>47550.430000000008</v>
      </c>
      <c r="E67" s="13">
        <f t="shared" si="20"/>
        <v>-11354.069999999949</v>
      </c>
      <c r="F67" s="13">
        <f t="shared" si="20"/>
        <v>-150706.94</v>
      </c>
      <c r="G67" s="13">
        <f t="shared" si="20"/>
        <v>12500</v>
      </c>
      <c r="H67" s="13">
        <f t="shared" si="20"/>
        <v>0</v>
      </c>
      <c r="I67" s="13">
        <f t="shared" si="20"/>
        <v>0</v>
      </c>
      <c r="J67" s="13">
        <f t="shared" si="20"/>
        <v>0</v>
      </c>
      <c r="K67" s="13">
        <f>(((G67)+(H67))+(I67))+(J67)</f>
        <v>12500</v>
      </c>
      <c r="L67" s="13">
        <f>(((((B67)+(C67))+(D67))+(E67))+(F67))+(K67)</f>
        <v>-170711.25999999995</v>
      </c>
    </row>
    <row r="68" spans="1:12" x14ac:dyDescent="0.25">
      <c r="A68" s="11" t="s">
        <v>69</v>
      </c>
      <c r="B68" s="18">
        <f t="shared" ref="B68:J68" si="21">(B54)+(B67)</f>
        <v>-68700.679999999993</v>
      </c>
      <c r="C68" s="13">
        <f t="shared" si="21"/>
        <v>-33664.189999999995</v>
      </c>
      <c r="D68" s="13">
        <f t="shared" si="21"/>
        <v>47550.430000000008</v>
      </c>
      <c r="E68" s="13">
        <f t="shared" si="21"/>
        <v>-11354.069999999949</v>
      </c>
      <c r="F68" s="13">
        <f t="shared" si="21"/>
        <v>-150794.07</v>
      </c>
      <c r="G68" s="13">
        <f t="shared" si="21"/>
        <v>106120.8</v>
      </c>
      <c r="H68" s="13">
        <f t="shared" si="21"/>
        <v>-79.97</v>
      </c>
      <c r="I68" s="13">
        <f t="shared" si="21"/>
        <v>-44955.19</v>
      </c>
      <c r="J68" s="13">
        <f t="shared" si="21"/>
        <v>-17660</v>
      </c>
      <c r="K68" s="13">
        <f>(((G68)+(H68))+(I68))+(J68)</f>
        <v>43425.64</v>
      </c>
      <c r="L68" s="13">
        <f>(((((B68)+(C68))+(D68))+(E68))+(F68))+(K68)</f>
        <v>-173536.93999999994</v>
      </c>
    </row>
    <row r="69" spans="1:12" x14ac:dyDescent="0.25">
      <c r="A69" s="11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x14ac:dyDescent="0.25">
      <c r="A70" s="28" t="s">
        <v>67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</row>
    <row r="72" spans="1:12" x14ac:dyDescent="0.25">
      <c r="A72" s="31" t="s">
        <v>145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</sheetData>
  <mergeCells count="5">
    <mergeCell ref="A72:L72"/>
    <mergeCell ref="A1:L1"/>
    <mergeCell ref="A2:L2"/>
    <mergeCell ref="A3:L3"/>
    <mergeCell ref="A70:L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C5DE-54FD-4F28-A8ED-1EDA5C934949}">
  <dimension ref="A1:G11"/>
  <sheetViews>
    <sheetView workbookViewId="0">
      <selection sqref="A1:G1"/>
    </sheetView>
  </sheetViews>
  <sheetFormatPr defaultRowHeight="15" x14ac:dyDescent="0.25"/>
  <cols>
    <col min="1" max="1" width="18" customWidth="1"/>
    <col min="2" max="7" width="11.140625" customWidth="1"/>
  </cols>
  <sheetData>
    <row r="1" spans="1:7" ht="18" x14ac:dyDescent="0.25">
      <c r="A1" s="32" t="s">
        <v>62</v>
      </c>
      <c r="B1" s="25"/>
      <c r="C1" s="25"/>
      <c r="D1" s="25"/>
      <c r="E1" s="25"/>
      <c r="F1" s="25"/>
      <c r="G1" s="25"/>
    </row>
    <row r="2" spans="1:7" ht="18" x14ac:dyDescent="0.25">
      <c r="A2" s="32" t="s">
        <v>165</v>
      </c>
      <c r="B2" s="25"/>
      <c r="C2" s="25"/>
      <c r="D2" s="25"/>
      <c r="E2" s="25"/>
      <c r="F2" s="25"/>
      <c r="G2" s="25"/>
    </row>
    <row r="3" spans="1:7" x14ac:dyDescent="0.25">
      <c r="A3" s="33" t="s">
        <v>64</v>
      </c>
      <c r="B3" s="25"/>
      <c r="C3" s="25"/>
      <c r="D3" s="25"/>
      <c r="E3" s="25"/>
      <c r="F3" s="25"/>
      <c r="G3" s="25"/>
    </row>
    <row r="5" spans="1:7" x14ac:dyDescent="0.25">
      <c r="A5" s="1"/>
      <c r="B5" s="16" t="s">
        <v>164</v>
      </c>
      <c r="C5" s="16" t="s">
        <v>163</v>
      </c>
      <c r="D5" s="16" t="s">
        <v>162</v>
      </c>
      <c r="E5" s="16" t="s">
        <v>161</v>
      </c>
      <c r="F5" s="16" t="s">
        <v>160</v>
      </c>
      <c r="G5" s="16" t="s">
        <v>0</v>
      </c>
    </row>
    <row r="6" spans="1:7" ht="23.25" x14ac:dyDescent="0.25">
      <c r="A6" s="11" t="s">
        <v>159</v>
      </c>
      <c r="B6" s="19">
        <f>8333.34</f>
        <v>8333.34</v>
      </c>
      <c r="C6" s="9"/>
      <c r="D6" s="19">
        <f>4166.67</f>
        <v>4166.67</v>
      </c>
      <c r="E6" s="19">
        <f>4166.67</f>
        <v>4166.67</v>
      </c>
      <c r="F6" s="19">
        <f>4166.67</f>
        <v>4166.67</v>
      </c>
      <c r="G6" s="19">
        <f>((((B6)+(C6))+(D6))+(E6))+(F6)</f>
        <v>20833.349999999999</v>
      </c>
    </row>
    <row r="7" spans="1:7" x14ac:dyDescent="0.25">
      <c r="A7" s="11" t="s">
        <v>146</v>
      </c>
      <c r="B7" s="18">
        <f>B6</f>
        <v>8333.34</v>
      </c>
      <c r="C7" s="18">
        <f>C6</f>
        <v>0</v>
      </c>
      <c r="D7" s="18">
        <f>D6</f>
        <v>4166.67</v>
      </c>
      <c r="E7" s="18">
        <f>E6</f>
        <v>4166.67</v>
      </c>
      <c r="F7" s="18">
        <f>F6</f>
        <v>4166.67</v>
      </c>
      <c r="G7" s="18">
        <f>((((B7)+(C7))+(D7))+(E7))+(F7)</f>
        <v>20833.349999999999</v>
      </c>
    </row>
    <row r="8" spans="1:7" x14ac:dyDescent="0.25">
      <c r="A8" s="11"/>
      <c r="B8" s="9"/>
      <c r="C8" s="9"/>
      <c r="D8" s="9"/>
      <c r="E8" s="9"/>
      <c r="F8" s="9"/>
      <c r="G8" s="9"/>
    </row>
    <row r="11" spans="1:7" x14ac:dyDescent="0.25">
      <c r="A11" s="31" t="s">
        <v>158</v>
      </c>
      <c r="B11" s="25"/>
      <c r="C11" s="25"/>
      <c r="D11" s="25"/>
      <c r="E11" s="25"/>
      <c r="F11" s="25"/>
      <c r="G11" s="25"/>
    </row>
  </sheetData>
  <mergeCells count="4">
    <mergeCell ref="A11:G11"/>
    <mergeCell ref="A1:G1"/>
    <mergeCell ref="A2:G2"/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16BBE-B666-45D2-9507-EA7AE666BAF0}">
  <dimension ref="A1:G17"/>
  <sheetViews>
    <sheetView workbookViewId="0">
      <selection sqref="A1:G1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32" t="s">
        <v>62</v>
      </c>
      <c r="B1" s="25"/>
      <c r="C1" s="25"/>
      <c r="D1" s="25"/>
      <c r="E1" s="25"/>
      <c r="F1" s="25"/>
      <c r="G1" s="25"/>
    </row>
    <row r="2" spans="1:7" ht="18" x14ac:dyDescent="0.25">
      <c r="A2" s="32" t="s">
        <v>174</v>
      </c>
      <c r="B2" s="25"/>
      <c r="C2" s="25"/>
      <c r="D2" s="25"/>
      <c r="E2" s="25"/>
      <c r="F2" s="25"/>
      <c r="G2" s="25"/>
    </row>
    <row r="3" spans="1:7" x14ac:dyDescent="0.25">
      <c r="A3" s="33" t="s">
        <v>64</v>
      </c>
      <c r="B3" s="25"/>
      <c r="C3" s="25"/>
      <c r="D3" s="25"/>
      <c r="E3" s="25"/>
      <c r="F3" s="25"/>
      <c r="G3" s="25"/>
    </row>
    <row r="5" spans="1:7" x14ac:dyDescent="0.25">
      <c r="A5" s="1"/>
      <c r="B5" s="16" t="s">
        <v>164</v>
      </c>
      <c r="C5" s="16" t="s">
        <v>163</v>
      </c>
      <c r="D5" s="16" t="s">
        <v>162</v>
      </c>
      <c r="E5" s="16" t="s">
        <v>161</v>
      </c>
      <c r="F5" s="16" t="s">
        <v>160</v>
      </c>
      <c r="G5" s="16" t="s">
        <v>0</v>
      </c>
    </row>
    <row r="6" spans="1:7" x14ac:dyDescent="0.25">
      <c r="A6" s="11" t="s">
        <v>173</v>
      </c>
      <c r="B6" s="19">
        <f>2000</f>
        <v>2000</v>
      </c>
      <c r="C6" s="9"/>
      <c r="D6" s="9"/>
      <c r="E6" s="9"/>
      <c r="F6" s="9"/>
      <c r="G6" s="19">
        <f t="shared" ref="G6:G13" si="0">((((B6)+(C6))+(D6))+(E6))+(F6)</f>
        <v>2000</v>
      </c>
    </row>
    <row r="7" spans="1:7" x14ac:dyDescent="0.25">
      <c r="A7" s="11" t="s">
        <v>172</v>
      </c>
      <c r="B7" s="9"/>
      <c r="C7" s="19">
        <f>100</f>
        <v>100</v>
      </c>
      <c r="D7" s="19">
        <f>100</f>
        <v>100</v>
      </c>
      <c r="E7" s="9"/>
      <c r="F7" s="9"/>
      <c r="G7" s="19">
        <f t="shared" si="0"/>
        <v>200</v>
      </c>
    </row>
    <row r="8" spans="1:7" x14ac:dyDescent="0.25">
      <c r="A8" s="11" t="s">
        <v>171</v>
      </c>
      <c r="B8" s="19">
        <f>230</f>
        <v>230</v>
      </c>
      <c r="C8" s="19">
        <f>285</f>
        <v>285</v>
      </c>
      <c r="D8" s="9"/>
      <c r="E8" s="9"/>
      <c r="F8" s="9"/>
      <c r="G8" s="19">
        <f t="shared" si="0"/>
        <v>515</v>
      </c>
    </row>
    <row r="9" spans="1:7" x14ac:dyDescent="0.25">
      <c r="A9" s="11" t="s">
        <v>170</v>
      </c>
      <c r="B9" s="19">
        <f>2200</f>
        <v>2200</v>
      </c>
      <c r="C9" s="9"/>
      <c r="D9" s="9"/>
      <c r="E9" s="9"/>
      <c r="F9" s="9"/>
      <c r="G9" s="19">
        <f t="shared" si="0"/>
        <v>2200</v>
      </c>
    </row>
    <row r="10" spans="1:7" x14ac:dyDescent="0.25">
      <c r="A10" s="11" t="s">
        <v>169</v>
      </c>
      <c r="B10" s="19">
        <f>360</f>
        <v>360</v>
      </c>
      <c r="C10" s="9"/>
      <c r="D10" s="9"/>
      <c r="E10" s="9"/>
      <c r="F10" s="9"/>
      <c r="G10" s="19">
        <f t="shared" si="0"/>
        <v>360</v>
      </c>
    </row>
    <row r="11" spans="1:7" x14ac:dyDescent="0.25">
      <c r="A11" s="11" t="s">
        <v>168</v>
      </c>
      <c r="B11" s="9"/>
      <c r="C11" s="9"/>
      <c r="D11" s="19">
        <f>2333.38</f>
        <v>2333.38</v>
      </c>
      <c r="E11" s="9"/>
      <c r="F11" s="9"/>
      <c r="G11" s="19">
        <f t="shared" si="0"/>
        <v>2333.38</v>
      </c>
    </row>
    <row r="12" spans="1:7" x14ac:dyDescent="0.25">
      <c r="A12" s="11" t="s">
        <v>167</v>
      </c>
      <c r="B12" s="9"/>
      <c r="C12" s="19">
        <f>100</f>
        <v>100</v>
      </c>
      <c r="D12" s="9"/>
      <c r="E12" s="9"/>
      <c r="F12" s="9"/>
      <c r="G12" s="19">
        <f t="shared" si="0"/>
        <v>100</v>
      </c>
    </row>
    <row r="13" spans="1:7" x14ac:dyDescent="0.25">
      <c r="A13" s="11" t="s">
        <v>146</v>
      </c>
      <c r="B13" s="18">
        <f>((((((B6)+(B7))+(B8))+(B9))+(B10))+(B11))+(B12)</f>
        <v>4790</v>
      </c>
      <c r="C13" s="18">
        <f>((((((C6)+(C7))+(C8))+(C9))+(C10))+(C11))+(C12)</f>
        <v>485</v>
      </c>
      <c r="D13" s="18">
        <f>((((((D6)+(D7))+(D8))+(D9))+(D10))+(D11))+(D12)</f>
        <v>2433.38</v>
      </c>
      <c r="E13" s="18">
        <f>((((((E6)+(E7))+(E8))+(E9))+(E10))+(E11))+(E12)</f>
        <v>0</v>
      </c>
      <c r="F13" s="18">
        <f>((((((F6)+(F7))+(F8))+(F9))+(F10))+(F11))+(F12)</f>
        <v>0</v>
      </c>
      <c r="G13" s="18">
        <f t="shared" si="0"/>
        <v>7708.38</v>
      </c>
    </row>
    <row r="14" spans="1:7" x14ac:dyDescent="0.25">
      <c r="A14" s="11"/>
      <c r="B14" s="9"/>
      <c r="C14" s="9"/>
      <c r="D14" s="9"/>
      <c r="E14" s="9"/>
      <c r="F14" s="9"/>
      <c r="G14" s="9"/>
    </row>
    <row r="17" spans="1:7" x14ac:dyDescent="0.25">
      <c r="A17" s="31" t="s">
        <v>166</v>
      </c>
      <c r="B17" s="25"/>
      <c r="C17" s="25"/>
      <c r="D17" s="25"/>
      <c r="E17" s="25"/>
      <c r="F17" s="25"/>
      <c r="G17" s="25"/>
    </row>
  </sheetData>
  <mergeCells count="4">
    <mergeCell ref="A17:G17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Statement of Financial Position</vt:lpstr>
      <vt:lpstr>Budget vs. Actuals</vt:lpstr>
      <vt:lpstr>L&amp;L Grinspoon</vt:lpstr>
      <vt:lpstr>A R Aging Summary</vt:lpstr>
      <vt:lpstr>A P Aging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dcterms:created xsi:type="dcterms:W3CDTF">2023-12-19T18:17:47Z</dcterms:created>
  <dcterms:modified xsi:type="dcterms:W3CDTF">2023-12-19T21:19:36Z</dcterms:modified>
</cp:coreProperties>
</file>