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8 2024.03.31 for April EC Meeting\"/>
    </mc:Choice>
  </mc:AlternateContent>
  <xr:revisionPtr revIDLastSave="0" documentId="13_ncr:1_{69D8A1B7-2C31-46DF-8C5D-9366082A52BC}" xr6:coauthVersionLast="47" xr6:coauthVersionMax="47" xr10:uidLastSave="{00000000-0000-0000-0000-000000000000}"/>
  <bookViews>
    <workbookView xWindow="13550" yWindow="-110" windowWidth="19420" windowHeight="10420" firstSheet="3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6" l="1"/>
  <c r="P14" i="6"/>
  <c r="P13" i="6"/>
  <c r="P12" i="6"/>
  <c r="M20" i="2" l="1"/>
  <c r="L20" i="2"/>
  <c r="C76" i="2"/>
  <c r="E76" i="2" s="1"/>
  <c r="E75" i="2"/>
  <c r="B75" i="2"/>
  <c r="B76" i="2" s="1"/>
  <c r="D76" i="2" s="1"/>
  <c r="C72" i="2"/>
  <c r="C73" i="2" s="1"/>
  <c r="E71" i="2"/>
  <c r="B71" i="2"/>
  <c r="D71" i="2" s="1"/>
  <c r="E70" i="2"/>
  <c r="B70" i="2"/>
  <c r="D70" i="2" s="1"/>
  <c r="E69" i="2"/>
  <c r="B69" i="2"/>
  <c r="D69" i="2" s="1"/>
  <c r="E68" i="2"/>
  <c r="B68" i="2"/>
  <c r="D68" i="2" s="1"/>
  <c r="E67" i="2"/>
  <c r="D67" i="2"/>
  <c r="E66" i="2"/>
  <c r="B66" i="2"/>
  <c r="E62" i="2"/>
  <c r="B62" i="2"/>
  <c r="D62" i="2" s="1"/>
  <c r="E60" i="2"/>
  <c r="D60" i="2"/>
  <c r="C60" i="2"/>
  <c r="C59" i="2"/>
  <c r="E59" i="2" s="1"/>
  <c r="C58" i="2"/>
  <c r="D58" i="2" s="1"/>
  <c r="B58" i="2"/>
  <c r="C57" i="2"/>
  <c r="E57" i="2" s="1"/>
  <c r="B57" i="2"/>
  <c r="D57" i="2" s="1"/>
  <c r="E56" i="2"/>
  <c r="B56" i="2"/>
  <c r="B61" i="2" s="1"/>
  <c r="C54" i="2"/>
  <c r="E54" i="2" s="1"/>
  <c r="B54" i="2"/>
  <c r="D54" i="2" s="1"/>
  <c r="C53" i="2"/>
  <c r="E53" i="2" s="1"/>
  <c r="B53" i="2"/>
  <c r="D53" i="2" s="1"/>
  <c r="C52" i="2"/>
  <c r="E52" i="2" s="1"/>
  <c r="B52" i="2"/>
  <c r="D52" i="2" s="1"/>
  <c r="E51" i="2"/>
  <c r="C51" i="2"/>
  <c r="B51" i="2"/>
  <c r="D51" i="2" s="1"/>
  <c r="C50" i="2"/>
  <c r="E50" i="2" s="1"/>
  <c r="B50" i="2"/>
  <c r="D50" i="2" s="1"/>
  <c r="E49" i="2"/>
  <c r="C49" i="2"/>
  <c r="C55" i="2" s="1"/>
  <c r="B49" i="2"/>
  <c r="D49" i="2" s="1"/>
  <c r="E48" i="2"/>
  <c r="D48" i="2"/>
  <c r="C46" i="2"/>
  <c r="C47" i="2" s="1"/>
  <c r="B46" i="2"/>
  <c r="D46" i="2" s="1"/>
  <c r="E45" i="2"/>
  <c r="D45" i="2"/>
  <c r="B45" i="2"/>
  <c r="B47" i="2" s="1"/>
  <c r="D47" i="2" s="1"/>
  <c r="E44" i="2"/>
  <c r="D44" i="2"/>
  <c r="E42" i="2"/>
  <c r="D42" i="2"/>
  <c r="C42" i="2"/>
  <c r="B42" i="2"/>
  <c r="C41" i="2"/>
  <c r="C43" i="2" s="1"/>
  <c r="B41" i="2"/>
  <c r="B43" i="2" s="1"/>
  <c r="E40" i="2"/>
  <c r="D40" i="2"/>
  <c r="C40" i="2"/>
  <c r="B40" i="2"/>
  <c r="C37" i="2"/>
  <c r="E37" i="2" s="1"/>
  <c r="B37" i="2"/>
  <c r="D37" i="2" s="1"/>
  <c r="C36" i="2"/>
  <c r="E36" i="2" s="1"/>
  <c r="B36" i="2"/>
  <c r="D36" i="2" s="1"/>
  <c r="C35" i="2"/>
  <c r="E35" i="2" s="1"/>
  <c r="B35" i="2"/>
  <c r="D35" i="2" s="1"/>
  <c r="E34" i="2"/>
  <c r="B34" i="2"/>
  <c r="D34" i="2" s="1"/>
  <c r="E33" i="2"/>
  <c r="D33" i="2"/>
  <c r="C32" i="2"/>
  <c r="D32" i="2" s="1"/>
  <c r="E31" i="2"/>
  <c r="C31" i="2"/>
  <c r="B31" i="2"/>
  <c r="D31" i="2" s="1"/>
  <c r="C30" i="2"/>
  <c r="D30" i="2" s="1"/>
  <c r="E29" i="2"/>
  <c r="D29" i="2"/>
  <c r="C29" i="2"/>
  <c r="B29" i="2"/>
  <c r="C28" i="2"/>
  <c r="E28" i="2" s="1"/>
  <c r="B28" i="2"/>
  <c r="D28" i="2" s="1"/>
  <c r="E27" i="2"/>
  <c r="D27" i="2"/>
  <c r="B27" i="2"/>
  <c r="C26" i="2"/>
  <c r="E26" i="2" s="1"/>
  <c r="C25" i="2"/>
  <c r="E25" i="2" s="1"/>
  <c r="B25" i="2"/>
  <c r="C24" i="2"/>
  <c r="E24" i="2" s="1"/>
  <c r="B24" i="2"/>
  <c r="D24" i="2" s="1"/>
  <c r="C23" i="2"/>
  <c r="D23" i="2" s="1"/>
  <c r="E22" i="2"/>
  <c r="C22" i="2"/>
  <c r="D22" i="2" s="1"/>
  <c r="C21" i="2"/>
  <c r="E21" i="2" s="1"/>
  <c r="B21" i="2"/>
  <c r="D21" i="2" s="1"/>
  <c r="E17" i="2"/>
  <c r="D17" i="2"/>
  <c r="B17" i="2"/>
  <c r="E15" i="2"/>
  <c r="D15" i="2"/>
  <c r="C15" i="2"/>
  <c r="B15" i="2"/>
  <c r="C14" i="2"/>
  <c r="E14" i="2" s="1"/>
  <c r="B14" i="2"/>
  <c r="D14" i="2" s="1"/>
  <c r="E13" i="2"/>
  <c r="D13" i="2"/>
  <c r="C13" i="2"/>
  <c r="B13" i="2"/>
  <c r="E12" i="2"/>
  <c r="D12" i="2"/>
  <c r="C11" i="2"/>
  <c r="C16" i="2" s="1"/>
  <c r="B11" i="2"/>
  <c r="D11" i="2" s="1"/>
  <c r="E39" i="2"/>
  <c r="D39" i="2"/>
  <c r="D7" i="9"/>
  <c r="F6" i="9"/>
  <c r="F7" i="9" s="1"/>
  <c r="E6" i="9"/>
  <c r="E7" i="9" s="1"/>
  <c r="C6" i="9"/>
  <c r="C7" i="9" s="1"/>
  <c r="B6" i="9"/>
  <c r="B7" i="9" s="1"/>
  <c r="D9" i="4"/>
  <c r="B8" i="4"/>
  <c r="G8" i="4" s="1"/>
  <c r="F7" i="4"/>
  <c r="F9" i="4" s="1"/>
  <c r="E7" i="4"/>
  <c r="E9" i="4" s="1"/>
  <c r="C7" i="4"/>
  <c r="G7" i="4" s="1"/>
  <c r="B6" i="4"/>
  <c r="G6" i="4" s="1"/>
  <c r="J66" i="12"/>
  <c r="I66" i="12"/>
  <c r="H66" i="12"/>
  <c r="E66" i="12"/>
  <c r="C66" i="12"/>
  <c r="K65" i="12"/>
  <c r="G65" i="12"/>
  <c r="G66" i="12" s="1"/>
  <c r="K66" i="12" s="1"/>
  <c r="F65" i="12"/>
  <c r="F66" i="12" s="1"/>
  <c r="E65" i="12"/>
  <c r="D65" i="12"/>
  <c r="D66" i="12" s="1"/>
  <c r="B65" i="12"/>
  <c r="B66" i="12" s="1"/>
  <c r="L66" i="12" s="1"/>
  <c r="G63" i="12"/>
  <c r="C63" i="12"/>
  <c r="C67" i="12" s="1"/>
  <c r="J62" i="12"/>
  <c r="J63" i="12" s="1"/>
  <c r="J67" i="12" s="1"/>
  <c r="I62" i="12"/>
  <c r="I63" i="12" s="1"/>
  <c r="I67" i="12" s="1"/>
  <c r="H62" i="12"/>
  <c r="H63" i="12" s="1"/>
  <c r="G62" i="12"/>
  <c r="K62" i="12" s="1"/>
  <c r="C62" i="12"/>
  <c r="B62" i="12"/>
  <c r="K61" i="12"/>
  <c r="F61" i="12"/>
  <c r="E61" i="12"/>
  <c r="L61" i="12" s="1"/>
  <c r="D61" i="12"/>
  <c r="K60" i="12"/>
  <c r="F60" i="12"/>
  <c r="E60" i="12"/>
  <c r="D60" i="12"/>
  <c r="L60" i="12" s="1"/>
  <c r="K59" i="12"/>
  <c r="F59" i="12"/>
  <c r="E59" i="12"/>
  <c r="D59" i="12"/>
  <c r="L59" i="12" s="1"/>
  <c r="K58" i="12"/>
  <c r="F58" i="12"/>
  <c r="F62" i="12" s="1"/>
  <c r="E58" i="12"/>
  <c r="E62" i="12" s="1"/>
  <c r="D58" i="12"/>
  <c r="L58" i="12" s="1"/>
  <c r="K57" i="12"/>
  <c r="L57" i="12" s="1"/>
  <c r="K56" i="12"/>
  <c r="F56" i="12"/>
  <c r="E56" i="12"/>
  <c r="D56" i="12"/>
  <c r="B56" i="12"/>
  <c r="B63" i="12" s="1"/>
  <c r="K52" i="12"/>
  <c r="L52" i="12" s="1"/>
  <c r="J52" i="12"/>
  <c r="J51" i="12"/>
  <c r="I51" i="12"/>
  <c r="H51" i="12"/>
  <c r="G51" i="12"/>
  <c r="K51" i="12" s="1"/>
  <c r="F51" i="12"/>
  <c r="E51" i="12"/>
  <c r="D51" i="12"/>
  <c r="B51" i="12"/>
  <c r="L51" i="12" s="1"/>
  <c r="K50" i="12"/>
  <c r="J50" i="12"/>
  <c r="C50" i="12"/>
  <c r="L50" i="12" s="1"/>
  <c r="K49" i="12"/>
  <c r="L49" i="12" s="1"/>
  <c r="C49" i="12"/>
  <c r="C51" i="12" s="1"/>
  <c r="L48" i="12"/>
  <c r="K48" i="12"/>
  <c r="J47" i="12"/>
  <c r="H47" i="12"/>
  <c r="G47" i="12"/>
  <c r="F47" i="12"/>
  <c r="E47" i="12"/>
  <c r="D47" i="12"/>
  <c r="B47" i="12"/>
  <c r="K46" i="12"/>
  <c r="I46" i="12"/>
  <c r="C46" i="12"/>
  <c r="L46" i="12" s="1"/>
  <c r="K45" i="12"/>
  <c r="I45" i="12"/>
  <c r="C45" i="12"/>
  <c r="L45" i="12" s="1"/>
  <c r="K44" i="12"/>
  <c r="I44" i="12"/>
  <c r="C44" i="12"/>
  <c r="L44" i="12" s="1"/>
  <c r="K43" i="12"/>
  <c r="I43" i="12"/>
  <c r="C43" i="12"/>
  <c r="L43" i="12" s="1"/>
  <c r="K42" i="12"/>
  <c r="C42" i="12"/>
  <c r="L42" i="12" s="1"/>
  <c r="I41" i="12"/>
  <c r="I47" i="12" s="1"/>
  <c r="C41" i="12"/>
  <c r="C47" i="12" s="1"/>
  <c r="L40" i="12"/>
  <c r="K40" i="12"/>
  <c r="I39" i="12"/>
  <c r="H39" i="12"/>
  <c r="F39" i="12"/>
  <c r="E39" i="12"/>
  <c r="D39" i="12"/>
  <c r="B39" i="12"/>
  <c r="K38" i="12"/>
  <c r="L38" i="12" s="1"/>
  <c r="I38" i="12"/>
  <c r="G38" i="12"/>
  <c r="G39" i="12" s="1"/>
  <c r="C38" i="12"/>
  <c r="C39" i="12" s="1"/>
  <c r="J37" i="12"/>
  <c r="K37" i="12" s="1"/>
  <c r="L37" i="12" s="1"/>
  <c r="K36" i="12"/>
  <c r="L36" i="12" s="1"/>
  <c r="J35" i="12"/>
  <c r="H35" i="12"/>
  <c r="G35" i="12"/>
  <c r="F35" i="12"/>
  <c r="E35" i="12"/>
  <c r="D35" i="12"/>
  <c r="C35" i="12"/>
  <c r="B35" i="12"/>
  <c r="K34" i="12"/>
  <c r="C34" i="12"/>
  <c r="L34" i="12" s="1"/>
  <c r="K33" i="12"/>
  <c r="L33" i="12" s="1"/>
  <c r="I33" i="12"/>
  <c r="I32" i="12"/>
  <c r="K32" i="12" s="1"/>
  <c r="L32" i="12" s="1"/>
  <c r="C32" i="12"/>
  <c r="L31" i="12"/>
  <c r="K31" i="12"/>
  <c r="J30" i="12"/>
  <c r="H30" i="12"/>
  <c r="G30" i="12"/>
  <c r="K30" i="12" s="1"/>
  <c r="F30" i="12"/>
  <c r="E30" i="12"/>
  <c r="E53" i="12" s="1"/>
  <c r="D30" i="12"/>
  <c r="D53" i="12" s="1"/>
  <c r="B30" i="12"/>
  <c r="B53" i="12" s="1"/>
  <c r="K29" i="12"/>
  <c r="I29" i="12"/>
  <c r="C29" i="12"/>
  <c r="L29" i="12" s="1"/>
  <c r="K28" i="12"/>
  <c r="L28" i="12" s="1"/>
  <c r="I28" i="12"/>
  <c r="I27" i="12"/>
  <c r="I30" i="12" s="1"/>
  <c r="C27" i="12"/>
  <c r="K26" i="12"/>
  <c r="C26" i="12"/>
  <c r="C30" i="12" s="1"/>
  <c r="K25" i="12"/>
  <c r="L25" i="12" s="1"/>
  <c r="K24" i="12"/>
  <c r="L24" i="12" s="1"/>
  <c r="C24" i="12"/>
  <c r="J23" i="12"/>
  <c r="K23" i="12" s="1"/>
  <c r="L23" i="12" s="1"/>
  <c r="C23" i="12"/>
  <c r="L22" i="12"/>
  <c r="K22" i="12"/>
  <c r="C22" i="12"/>
  <c r="K21" i="12"/>
  <c r="L21" i="12" s="1"/>
  <c r="I21" i="12"/>
  <c r="I20" i="12"/>
  <c r="K20" i="12" s="1"/>
  <c r="L20" i="12" s="1"/>
  <c r="I19" i="12"/>
  <c r="H19" i="12"/>
  <c r="H53" i="12" s="1"/>
  <c r="F19" i="12"/>
  <c r="L18" i="12"/>
  <c r="K18" i="12"/>
  <c r="C18" i="12"/>
  <c r="J15" i="12"/>
  <c r="J16" i="12" s="1"/>
  <c r="B15" i="12"/>
  <c r="K14" i="12"/>
  <c r="L14" i="12" s="1"/>
  <c r="G14" i="12"/>
  <c r="J13" i="12"/>
  <c r="I13" i="12"/>
  <c r="I15" i="12" s="1"/>
  <c r="I16" i="12" s="1"/>
  <c r="H13" i="12"/>
  <c r="H15" i="12" s="1"/>
  <c r="H16" i="12" s="1"/>
  <c r="H54" i="12" s="1"/>
  <c r="E13" i="12"/>
  <c r="E15" i="12" s="1"/>
  <c r="E16" i="12" s="1"/>
  <c r="E54" i="12" s="1"/>
  <c r="B13" i="12"/>
  <c r="K12" i="12"/>
  <c r="L12" i="12" s="1"/>
  <c r="C12" i="12"/>
  <c r="J11" i="12"/>
  <c r="I11" i="12"/>
  <c r="H11" i="12"/>
  <c r="F11" i="12"/>
  <c r="F13" i="12" s="1"/>
  <c r="F15" i="12" s="1"/>
  <c r="F16" i="12" s="1"/>
  <c r="E11" i="12"/>
  <c r="D11" i="12"/>
  <c r="L11" i="12" s="1"/>
  <c r="C11" i="12"/>
  <c r="C13" i="12" s="1"/>
  <c r="C15" i="12" s="1"/>
  <c r="C16" i="12" s="1"/>
  <c r="B11" i="12"/>
  <c r="K10" i="12"/>
  <c r="L10" i="12" s="1"/>
  <c r="G10" i="12"/>
  <c r="G11" i="12" s="1"/>
  <c r="K11" i="12" s="1"/>
  <c r="L9" i="12"/>
  <c r="K9" i="12"/>
  <c r="G8" i="12"/>
  <c r="G13" i="12" s="1"/>
  <c r="B62" i="1"/>
  <c r="B61" i="1"/>
  <c r="B60" i="1"/>
  <c r="B59" i="1"/>
  <c r="B58" i="1"/>
  <c r="B53" i="1"/>
  <c r="B52" i="1"/>
  <c r="B51" i="1"/>
  <c r="B54" i="1" s="1"/>
  <c r="B48" i="1"/>
  <c r="B49" i="1" s="1"/>
  <c r="B55" i="1" s="1"/>
  <c r="B56" i="1" s="1"/>
  <c r="B41" i="1"/>
  <c r="B40" i="1"/>
  <c r="B39" i="1"/>
  <c r="B38" i="1"/>
  <c r="B37" i="1"/>
  <c r="B35" i="1"/>
  <c r="B34" i="1"/>
  <c r="B33" i="1"/>
  <c r="B32" i="1"/>
  <c r="B31" i="1"/>
  <c r="B30" i="1"/>
  <c r="B29" i="1"/>
  <c r="B25" i="1"/>
  <c r="B24" i="1"/>
  <c r="B26" i="1" s="1"/>
  <c r="B27" i="1" s="1"/>
  <c r="B20" i="1"/>
  <c r="B21" i="1" s="1"/>
  <c r="B17" i="1"/>
  <c r="B18" i="1" s="1"/>
  <c r="B14" i="1"/>
  <c r="B13" i="1"/>
  <c r="B12" i="1"/>
  <c r="B11" i="1"/>
  <c r="B10" i="1"/>
  <c r="K7" i="12"/>
  <c r="L7" i="12" s="1"/>
  <c r="B9" i="1"/>
  <c r="N20" i="2"/>
  <c r="M18" i="2"/>
  <c r="N15" i="2"/>
  <c r="N14" i="2"/>
  <c r="N13" i="2"/>
  <c r="B64" i="1" l="1"/>
  <c r="B15" i="1"/>
  <c r="B22" i="1" s="1"/>
  <c r="B63" i="1"/>
  <c r="B36" i="1"/>
  <c r="B42" i="1" s="1"/>
  <c r="M22" i="2"/>
  <c r="E47" i="2"/>
  <c r="E43" i="2"/>
  <c r="C77" i="2"/>
  <c r="E77" i="2" s="1"/>
  <c r="E73" i="2"/>
  <c r="B73" i="2"/>
  <c r="B63" i="2"/>
  <c r="D43" i="2"/>
  <c r="B72" i="2"/>
  <c r="D72" i="2" s="1"/>
  <c r="C61" i="2"/>
  <c r="E61" i="2" s="1"/>
  <c r="D41" i="2"/>
  <c r="D56" i="2"/>
  <c r="D66" i="2"/>
  <c r="E58" i="2"/>
  <c r="D75" i="2"/>
  <c r="E41" i="2"/>
  <c r="B55" i="2"/>
  <c r="D55" i="2" s="1"/>
  <c r="D59" i="2"/>
  <c r="E72" i="2"/>
  <c r="E46" i="2"/>
  <c r="C18" i="2"/>
  <c r="E32" i="2"/>
  <c r="E11" i="2"/>
  <c r="D26" i="2"/>
  <c r="B38" i="2"/>
  <c r="D25" i="2"/>
  <c r="E23" i="2"/>
  <c r="E30" i="2"/>
  <c r="C38" i="2"/>
  <c r="E38" i="2" s="1"/>
  <c r="B16" i="2"/>
  <c r="G7" i="9"/>
  <c r="G6" i="9"/>
  <c r="B9" i="4"/>
  <c r="C9" i="4"/>
  <c r="B67" i="12"/>
  <c r="G15" i="12"/>
  <c r="K13" i="12"/>
  <c r="D63" i="12"/>
  <c r="D67" i="12" s="1"/>
  <c r="H68" i="12"/>
  <c r="L30" i="12"/>
  <c r="E63" i="12"/>
  <c r="E67" i="12" s="1"/>
  <c r="E68" i="12" s="1"/>
  <c r="L47" i="12"/>
  <c r="C53" i="12"/>
  <c r="K63" i="12"/>
  <c r="H67" i="12"/>
  <c r="F63" i="12"/>
  <c r="F67" i="12" s="1"/>
  <c r="K47" i="12"/>
  <c r="K39" i="12"/>
  <c r="L39" i="12" s="1"/>
  <c r="G67" i="12"/>
  <c r="K67" i="12" s="1"/>
  <c r="K41" i="12"/>
  <c r="L41" i="12" s="1"/>
  <c r="J39" i="12"/>
  <c r="J53" i="12" s="1"/>
  <c r="J54" i="12" s="1"/>
  <c r="J68" i="12" s="1"/>
  <c r="B16" i="12"/>
  <c r="L56" i="12"/>
  <c r="D13" i="12"/>
  <c r="D15" i="12" s="1"/>
  <c r="D16" i="12" s="1"/>
  <c r="D54" i="12" s="1"/>
  <c r="D68" i="12" s="1"/>
  <c r="K19" i="12"/>
  <c r="L19" i="12" s="1"/>
  <c r="I35" i="12"/>
  <c r="K35" i="12" s="1"/>
  <c r="L35" i="12" s="1"/>
  <c r="F53" i="12"/>
  <c r="F54" i="12" s="1"/>
  <c r="F68" i="12" s="1"/>
  <c r="D62" i="12"/>
  <c r="L62" i="12" s="1"/>
  <c r="L26" i="12"/>
  <c r="K8" i="12"/>
  <c r="L8" i="12" s="1"/>
  <c r="K27" i="12"/>
  <c r="L27" i="12" s="1"/>
  <c r="G53" i="12"/>
  <c r="L65" i="12"/>
  <c r="N11" i="2"/>
  <c r="N18" i="2" s="1"/>
  <c r="N22" i="2" s="1"/>
  <c r="L18" i="2"/>
  <c r="L22" i="2" s="1"/>
  <c r="G26" i="2"/>
  <c r="G25" i="2"/>
  <c r="E10" i="2"/>
  <c r="D10" i="2"/>
  <c r="B43" i="1" l="1"/>
  <c r="D73" i="2"/>
  <c r="B77" i="2"/>
  <c r="D77" i="2" s="1"/>
  <c r="B64" i="2"/>
  <c r="D61" i="2"/>
  <c r="C63" i="2"/>
  <c r="E55" i="2"/>
  <c r="D38" i="2"/>
  <c r="D16" i="2"/>
  <c r="B18" i="2"/>
  <c r="C19" i="2"/>
  <c r="E18" i="2"/>
  <c r="E16" i="2"/>
  <c r="G9" i="4"/>
  <c r="G16" i="12"/>
  <c r="K15" i="12"/>
  <c r="L13" i="12"/>
  <c r="C54" i="12"/>
  <c r="C68" i="12" s="1"/>
  <c r="L67" i="12"/>
  <c r="L15" i="12"/>
  <c r="L63" i="12"/>
  <c r="B54" i="12"/>
  <c r="I53" i="12"/>
  <c r="I54" i="12" s="1"/>
  <c r="I68" i="12" s="1"/>
  <c r="H44" i="2"/>
  <c r="H29" i="2"/>
  <c r="H55" i="2"/>
  <c r="H48" i="2"/>
  <c r="G35" i="2"/>
  <c r="G34" i="2"/>
  <c r="C64" i="2" l="1"/>
  <c r="E63" i="2"/>
  <c r="D64" i="2"/>
  <c r="B78" i="2"/>
  <c r="D63" i="2"/>
  <c r="B19" i="2"/>
  <c r="D19" i="2" s="1"/>
  <c r="D18" i="2"/>
  <c r="K53" i="12"/>
  <c r="L53" i="12" s="1"/>
  <c r="B68" i="12"/>
  <c r="K16" i="12"/>
  <c r="L16" i="12" s="1"/>
  <c r="G54" i="12"/>
  <c r="E64" i="2" l="1"/>
  <c r="C78" i="2"/>
  <c r="E78" i="2" s="1"/>
  <c r="E19" i="2"/>
  <c r="K54" i="12"/>
  <c r="L54" i="12" s="1"/>
  <c r="G68" i="12"/>
  <c r="K68" i="12" s="1"/>
  <c r="L68" i="12"/>
  <c r="H20" i="2"/>
  <c r="F37" i="2"/>
  <c r="D78" i="2" l="1"/>
  <c r="H63" i="2"/>
  <c r="H67" i="2" s="1"/>
  <c r="P23" i="6"/>
  <c r="P19" i="6"/>
  <c r="H62" i="2" l="1"/>
  <c r="G27" i="2" l="1"/>
  <c r="O15" i="6"/>
  <c r="O14" i="6"/>
  <c r="O13" i="6"/>
  <c r="O12" i="6"/>
  <c r="G36" i="2" l="1"/>
  <c r="H36" i="2" s="1"/>
  <c r="N23" i="6"/>
  <c r="I54" i="6"/>
  <c r="O19" i="6" l="1"/>
  <c r="I55" i="6"/>
  <c r="H66" i="2" l="1"/>
  <c r="H68" i="2" l="1"/>
  <c r="H70" i="2" s="1"/>
  <c r="N15" i="6"/>
  <c r="N14" i="6"/>
  <c r="N13" i="6"/>
  <c r="N12" i="6"/>
  <c r="Q23" i="5" l="1"/>
  <c r="Q20" i="5"/>
  <c r="Q16" i="5"/>
  <c r="Q11" i="5"/>
  <c r="P25" i="5"/>
  <c r="Q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<sst xmlns="http://schemas.openxmlformats.org/spreadsheetml/2006/main" count="347" uniqueCount="250">
  <si>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</si>
  <si>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</si>
  <si>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</si>
  <si>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</si>
  <si>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</si>
  <si>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</si>
  <si>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</si>
  <si>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</si>
  <si>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</si>
  <si>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</si>
  <si>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</si>
  <si>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</si>
  <si>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</si>
  <si>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</si>
  <si>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</si>
  <si>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</si>
  <si>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</si>
  <si>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</si>
  <si>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</si>
  <si>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</si>
  <si>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</si>
  <si>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</si>
  <si>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</si>
  <si>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</si>
  <si>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</si>
  <si>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</si>
  <si>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</si>
  <si>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</si>
  <si>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</si>
  <si>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</si>
  <si>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</si>
  <si>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</si>
  <si>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</si>
  <si>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</si>
  <si>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</si>
  <si>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</si>
  <si>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</si>
  <si>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</si>
  <si>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</si>
  <si>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</si>
  <si>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</si>
  <si>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</si>
  <si>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</si>
  <si>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</si>
  <si>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</si>
  <si>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</si>
  <si>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</si>
  <si>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</si>
  <si>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</si>
  <si>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</si>
  <si>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</si>
  <si>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</si>
  <si>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</si>
  <si>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</si>
  <si>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</si>
  <si>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</si>
  <si>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</si>
  <si>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</si>
  <si>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</si>
  <si>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</si>
  <si>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</si>
  <si>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</si>
  <si>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</si>
  <si>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</si>
  <si>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</si>
  <si>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</si>
  <si>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</si>
  <si>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</si>
  <si>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</si>
  <si>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</si>
  <si>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</si>
  <si>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</si>
  <si>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</si>
  <si>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</si>
  <si>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</si>
  <si>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</si>
  <si>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</si>
  <si>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</si>
  <si>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</si>
  <si>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</si>
  <si>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</si>
  <si>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</si>
  <si>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</si>
  <si>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</si>
  <si>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</si>
  <si>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</si>
  <si>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</si>
  <si>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</si>
  <si>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</si>
  <si>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</si>
  <si>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</si>
  <si>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</si>
  <si>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</si>
  <si>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</si>
  <si>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</si>
  <si>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</si>
  <si>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</si>
  <si>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</si>
  <si>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</si>
  <si>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</si>
  <si>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</si>
  <si>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</si>
  <si>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</si>
  <si>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</si>
  <si>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</si>
  <si>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</si>
  <si>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</si>
  <si>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</si>
  <si>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</si>
  <si>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</si>
  <si>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</si>
  <si>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</si>
  <si>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</si>
  <si>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</si>
  <si>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</si>
  <si>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</si>
  <si>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</si>
  <si>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</si>
  <si>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</si>
  <si>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</si>
  <si>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</si>
  <si>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</si>
  <si>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</si>
  <si>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</si>
  <si>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</si>
  <si>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</si>
  <si>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</si>
  <si>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</si>
  <si>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</si>
  <si>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</si>
  <si>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</si>
  <si>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</si>
  <si>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</si>
  <si>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</si>
  <si>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</si>
  <si>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</si>
  <si>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</si>
  <si>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</si>
  <si>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</si>
  <si>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</si>
  <si>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</si>
  <si>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</si>
  <si>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</si>
  <si>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</si>
  <si>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</si>
  <si>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</si>
  <si>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</si>
  <si>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</si>
  <si>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</si>
  <si>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</si>
  <si>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</si>
  <si>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</si>
  <si>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</si>
  <si>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</si>
  <si>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</si>
  <si>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</si>
  <si>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</si>
  <si>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</si>
  <si>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</si>
  <si>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</si>
  <si>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</si>
  <si>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</si>
  <si>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</si>
  <si>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</si>
  <si>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</si>
  <si>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</si>
  <si>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</si>
  <si>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</si>
  <si>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</si>
  <si>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</si>
  <si>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</si>
  <si>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</si>
  <si>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</si>
  <si>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</si>
  <si>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</si>
  <si>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</si>
  <si>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</si>
  <si>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</si>
  <si>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</si>
  <si>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</si>
  <si>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</si>
  <si>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</si>
  <si>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</si>
  <si>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</si>
  <si>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</si>
  <si>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</si>
  <si>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</si>
  <si>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</si>
  <si>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</si>
  <si>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</si>
  <si>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</si>
  <si>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</si>
  <si>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</si>
  <si>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</si>
  <si>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</si>
  <si>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</si>
  <si>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</si>
  <si>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</si>
  <si>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</si>
  <si>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</si>
  <si>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</si>
  <si>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</si>
  <si>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</si>
  <si>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</si>
  <si>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</si>
  <si>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</si>
  <si>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</si>
  <si>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</si>
  <si>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</si>
  <si>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</si>
  <si>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</si>
  <si>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</si>
  <si>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</si>
  <si>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</si>
  <si>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</si>
  <si>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</si>
  <si>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payroll</t>
  </si>
  <si>
    <t>Life and Legacy</t>
  </si>
  <si>
    <t>Custodial</t>
  </si>
  <si>
    <t>Fixed</t>
  </si>
  <si>
    <t>Variable</t>
  </si>
  <si>
    <t>Savings</t>
  </si>
  <si>
    <t>more revenue than budget</t>
  </si>
  <si>
    <t>Revenue ahead</t>
  </si>
  <si>
    <t>Expense less than budget</t>
  </si>
  <si>
    <t>Fiduciary Technology Partners, LLC</t>
  </si>
  <si>
    <t>ERC application - 22,000</t>
  </si>
  <si>
    <t xml:space="preserve">   60004 JCC/Ewing Property</t>
  </si>
  <si>
    <t>EE rentention credit</t>
  </si>
  <si>
    <t xml:space="preserve">   60000 L&amp;L Event (potential fund raiser)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</si>
  <si>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</si>
  <si>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</si>
  <si>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</si>
  <si>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</si>
  <si>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</si>
  <si>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</si>
  <si>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</si>
  <si>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</si>
  <si>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Monday, Mar 11, 2024 04:15:06 PM GMT-7 - Accrual Basis</t>
  </si>
  <si>
    <t>As of February 29, 2024</t>
  </si>
  <si>
    <t>Saturday, Mar 23, 2024 03:05:52 PM GMT-7 - Accrual Basis</t>
  </si>
  <si>
    <t>Saturday, Mar 23, 2024 03:07:19 PM GMT-7</t>
  </si>
  <si>
    <t>Saturday, Mar 23, 2024 03:06:50 PM GMT-7</t>
  </si>
  <si>
    <t>7/1/2023 - 3/31/2024</t>
  </si>
  <si>
    <t>more expense than budget</t>
  </si>
  <si>
    <t>July 1, 2023 - March 31, 2024</t>
  </si>
  <si>
    <t>As of March 31, 2024</t>
  </si>
  <si>
    <t>Asset Summary as of March 31, 2024</t>
  </si>
  <si>
    <t>03.31.2024</t>
  </si>
  <si>
    <t>July 2023 -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</si>
</sst>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43" fontId="3" fillId="0" borderId="0" xfId="1" applyFont="1" applyAlignment="1">
      <alignment horizontal="right"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43" fontId="5" fillId="0" borderId="1" xfId="1" applyFont="1" applyBorder="1" applyAlignment="1">
      <alignment horizontal="center" wrapText="1"/>
    </xf>
    <xf numFmtId="0" fontId="7" fillId="0" borderId="0" xfId="0" applyFont="1"/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0" fontId="0" fillId="0" borderId="1" xfId="0" applyBorder="1"/>
    <xf numFmtId="167" fontId="3" fillId="0" borderId="1" xfId="1" applyNumberFormat="1" applyFont="1" applyBorder="1" applyAlignment="1">
      <alignment horizontal="right" wrapText="1"/>
    </xf>
    <xf numFmtId="167" fontId="3" fillId="0" borderId="3" xfId="1" applyNumberFormat="1" applyFont="1" applyBorder="1" applyAlignment="1">
      <alignment horizontal="right" wrapText="1"/>
    </xf>
    <xf numFmtId="43" fontId="26" fillId="0" borderId="1" xfId="1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43" fontId="28" fillId="0" borderId="0" xfId="1" applyFont="1" applyAlignment="1">
      <alignment wrapText="1"/>
    </xf>
    <xf numFmtId="43" fontId="28" fillId="0" borderId="0" xfId="1" applyFont="1" applyAlignment="1">
      <alignment horizontal="right" wrapText="1"/>
    </xf>
    <xf numFmtId="43" fontId="27" fillId="0" borderId="2" xfId="1" applyFont="1" applyBorder="1" applyAlignment="1">
      <alignment horizontal="right" wrapText="1"/>
    </xf>
    <xf numFmtId="167" fontId="3" fillId="0" borderId="0" xfId="1" applyNumberFormat="1" applyFont="1" applyBorder="1" applyAlignment="1">
      <alignment horizontal="right" wrapText="1"/>
    </xf>
    <xf numFmtId="168" fontId="23" fillId="0" borderId="0" xfId="0" applyNumberFormat="1" applyFont="1" applyAlignment="1">
      <alignment horizontal="left" vertical="center" wrapText="1" indent="2"/>
    </xf>
    <xf numFmtId="43" fontId="12" fillId="0" borderId="0" xfId="1" quotePrefix="1" applyFont="1"/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4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1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6" zoomScaleNormal="100" workbookViewId="0">
      <pane xSplit="3" ySplit="4" topLeftCell="M10" activePane="bottomRight" state="frozen"/>
      <selection activeCell="B6" sqref="B6"/>
      <selection pane="topRight" activeCell="E6" sqref="E6"/>
      <selection pane="bottomLeft" activeCell="B10" sqref="B10"/>
      <selection pane="bottomRight" activeCell="P16" sqref="P16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110" t="s">
        <v>133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6" s="36" customFormat="1" ht="26.25" customHeight="1" x14ac:dyDescent="0.2">
      <c r="A2" s="110" t="s">
        <v>134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26" s="36" customFormat="1" ht="26.25" x14ac:dyDescent="0.4">
      <c r="A3" s="111" t="s">
        <v>145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6" s="36" customFormat="1" ht="26.25" x14ac:dyDescent="0.4">
      <c r="A4" s="111" t="s">
        <v>146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6" s="36" customFormat="1" ht="26.25" x14ac:dyDescent="0.2">
      <c r="A5" s="112" t="s">
        <v>135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214</v>
      </c>
      <c r="Q8" s="40" t="s">
        <v>215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V11" s="58"/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2455673/10^6</f>
        <v>2.455673</v>
      </c>
      <c r="Q12" s="52">
        <f>SUM(E12:P12)</f>
        <v>18.82857199</v>
      </c>
      <c r="R12" s="45"/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-1550823/10^6</f>
        <v>-1.5508230000000001</v>
      </c>
      <c r="Q13" s="52">
        <f>SUM(E13:P13)</f>
        <v>-15.49191192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1777073/10^6</f>
        <v>1.7770729999999999</v>
      </c>
      <c r="Q14" s="52">
        <f>SUM(E14:P14)</f>
        <v>8.4348570400000007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-112709/10^6</f>
        <v>-0.112709</v>
      </c>
      <c r="Q15" s="86">
        <f>SUM(E15:P15)</f>
        <v>-1.2609924300000002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17.290451140000002</v>
      </c>
      <c r="Q17" s="60">
        <f>SUM(Q11:Q15)</f>
        <v>17.290451139999998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1.664364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9.625914248990497E-2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3" workbookViewId="0">
      <selection activeCell="E25" sqref="E25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5.28515625" style="6" bestFit="1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13" t="s">
        <v>133</v>
      </c>
      <c r="C1" s="113"/>
      <c r="D1" s="113"/>
      <c r="E1" s="113"/>
      <c r="F1" s="113"/>
    </row>
    <row r="2" spans="2:32" ht="21" x14ac:dyDescent="0.25">
      <c r="B2" s="113" t="s">
        <v>134</v>
      </c>
      <c r="C2" s="113"/>
      <c r="D2" s="113"/>
      <c r="E2" s="113"/>
      <c r="F2" s="113"/>
    </row>
    <row r="3" spans="2:32" ht="21" customHeight="1" x14ac:dyDescent="0.25">
      <c r="B3" s="113" t="s">
        <v>247</v>
      </c>
      <c r="C3" s="113"/>
      <c r="D3" s="113"/>
      <c r="E3" s="113"/>
      <c r="F3" s="113"/>
    </row>
    <row r="4" spans="2:32" ht="18" customHeight="1" x14ac:dyDescent="0.25">
      <c r="B4" s="113" t="s">
        <v>135</v>
      </c>
      <c r="C4" s="113"/>
      <c r="D4" s="113"/>
      <c r="E4" s="113"/>
      <c r="F4" s="113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248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5781771.3899999997</v>
      </c>
      <c r="P11" s="21">
        <v>3201659</v>
      </c>
      <c r="Q11" s="21">
        <f>+F11-P11</f>
        <v>2580112.3899999997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213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5732907.2599999998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-1443135.7400000002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5496448.5300000003</v>
      </c>
      <c r="P20" s="21">
        <v>4752663</v>
      </c>
      <c r="Q20" s="21">
        <f>+F20-P20</f>
        <v>743785.53000000026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344055.41</v>
      </c>
      <c r="H23" s="109"/>
      <c r="I23" s="79"/>
      <c r="J23" s="79"/>
      <c r="K23" s="79"/>
      <c r="L23" s="79"/>
      <c r="P23" s="82">
        <v>496286</v>
      </c>
      <c r="Q23" s="82">
        <f>+F23-P23</f>
        <v>-152230.59000000003</v>
      </c>
    </row>
    <row r="24" spans="2:31" ht="12.95" customHeight="1" x14ac:dyDescent="0.25">
      <c r="B24" s="15"/>
      <c r="H24" s="92"/>
      <c r="I24" s="92"/>
      <c r="J24" s="92"/>
      <c r="K24" s="92"/>
      <c r="L24" s="92"/>
      <c r="X24" s="30"/>
    </row>
    <row r="25" spans="2:31" ht="15.75" thickBot="1" x14ac:dyDescent="0.3">
      <c r="B25" s="15" t="s">
        <v>140</v>
      </c>
      <c r="F25" s="31">
        <f>SUM(F11:F24)</f>
        <v>17355182.59</v>
      </c>
      <c r="H25" s="96" t="s">
        <v>210</v>
      </c>
      <c r="I25" s="96"/>
      <c r="J25" s="96"/>
      <c r="K25" s="96"/>
      <c r="L25" s="96"/>
      <c r="P25" s="31">
        <f>SUM(P11:P24)</f>
        <v>15626651</v>
      </c>
      <c r="Q25" s="31">
        <f>SUM(Q11:Q24)</f>
        <v>1728531.5899999996</v>
      </c>
    </row>
    <row r="26" spans="2:31" ht="15.75" thickTop="1" x14ac:dyDescent="0.25">
      <c r="B26" s="15"/>
      <c r="F26" s="32"/>
      <c r="H26" s="34"/>
      <c r="I26" s="34"/>
      <c r="J26" s="34"/>
      <c r="K26" s="34"/>
      <c r="L26" s="34"/>
    </row>
    <row r="27" spans="2:31" x14ac:dyDescent="0.25">
      <c r="B27" s="15"/>
      <c r="F27" s="32"/>
      <c r="H27" s="108"/>
      <c r="I27" s="89"/>
      <c r="J27" s="89"/>
      <c r="K27" s="89"/>
      <c r="L27" s="89"/>
    </row>
    <row r="28" spans="2:31" x14ac:dyDescent="0.25">
      <c r="B28" s="15"/>
      <c r="F28" s="32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workbookViewId="0">
      <selection activeCell="A68" sqref="A68:B68"/>
    </sheetView>
  </sheetViews>
  <sheetFormatPr defaultRowHeight="15" x14ac:dyDescent="0.25"/>
  <cols>
    <col min="1" max="1" width="43.85546875" customWidth="1"/>
    <col min="2" max="2" width="24.85546875" customWidth="1"/>
    <col min="3" max="3" width="14.28515625" bestFit="1" customWidth="1"/>
    <col min="4" max="4" width="9.5703125" bestFit="1" customWidth="1"/>
  </cols>
  <sheetData>
    <row r="1" spans="1:2" ht="18" x14ac:dyDescent="0.25">
      <c r="A1" s="114" t="s">
        <v>59</v>
      </c>
      <c r="B1" s="115"/>
    </row>
    <row r="2" spans="1:2" ht="18" x14ac:dyDescent="0.25">
      <c r="A2" s="114" t="s">
        <v>60</v>
      </c>
      <c r="B2" s="115"/>
    </row>
    <row r="3" spans="1:2" x14ac:dyDescent="0.25">
      <c r="A3" s="116" t="s">
        <v>246</v>
      </c>
      <c r="B3" s="115"/>
    </row>
    <row r="4" spans="1:2" x14ac:dyDescent="0.25">
      <c r="B4" s="80"/>
    </row>
    <row r="5" spans="1:2" x14ac:dyDescent="0.25">
      <c r="A5" s="1"/>
      <c r="B5" s="102" t="s">
        <v>0</v>
      </c>
    </row>
    <row r="6" spans="1:2" ht="36.75" customHeight="1" x14ac:dyDescent="0.25">
      <c r="A6" s="103" t="s">
        <v>1</v>
      </c>
      <c r="B6" s="104"/>
    </row>
    <row r="7" spans="1:2" x14ac:dyDescent="0.25">
      <c r="A7" s="103" t="s">
        <v>2</v>
      </c>
      <c r="B7" s="104"/>
    </row>
    <row r="8" spans="1:2" x14ac:dyDescent="0.25">
      <c r="A8" s="103" t="s">
        <v>3</v>
      </c>
      <c r="B8" s="104"/>
    </row>
    <row r="9" spans="1:2" x14ac:dyDescent="0.25">
      <c r="A9" s="103" t="s">
        <v>4</v>
      </c>
      <c r="B9" s="105">
        <f>0</f>
        <v>0</v>
      </c>
    </row>
    <row r="10" spans="1:2" x14ac:dyDescent="0.25">
      <c r="A10" s="103" t="s">
        <v>5</v>
      </c>
      <c r="B10" s="105">
        <f>286.14</f>
        <v>286.14</v>
      </c>
    </row>
    <row r="11" spans="1:2" x14ac:dyDescent="0.25">
      <c r="A11" s="103" t="s">
        <v>6</v>
      </c>
      <c r="B11" s="105">
        <f>6060.17</f>
        <v>6060.17</v>
      </c>
    </row>
    <row r="12" spans="1:2" x14ac:dyDescent="0.25">
      <c r="A12" s="103" t="s">
        <v>7</v>
      </c>
      <c r="B12" s="105">
        <f>13859</f>
        <v>13859</v>
      </c>
    </row>
    <row r="13" spans="1:2" x14ac:dyDescent="0.25">
      <c r="A13" s="103" t="s">
        <v>8</v>
      </c>
      <c r="B13" s="105">
        <f>703.4</f>
        <v>703.4</v>
      </c>
    </row>
    <row r="14" spans="1:2" x14ac:dyDescent="0.25">
      <c r="A14" s="103" t="s">
        <v>212</v>
      </c>
      <c r="B14" s="105">
        <f>6896.66</f>
        <v>6896.66</v>
      </c>
    </row>
    <row r="15" spans="1:2" x14ac:dyDescent="0.25">
      <c r="A15" s="103" t="s">
        <v>9</v>
      </c>
      <c r="B15" s="106">
        <f>(((((B9)+(B10))+(B11))+(B12))+(B13))+(B14)</f>
        <v>27805.370000000003</v>
      </c>
    </row>
    <row r="16" spans="1:2" x14ac:dyDescent="0.25">
      <c r="A16" s="103" t="s">
        <v>10</v>
      </c>
      <c r="B16" s="104"/>
    </row>
    <row r="17" spans="1:2" x14ac:dyDescent="0.25">
      <c r="A17" s="103" t="s">
        <v>11</v>
      </c>
      <c r="B17" s="105">
        <f>33333.36</f>
        <v>33333.360000000001</v>
      </c>
    </row>
    <row r="18" spans="1:2" x14ac:dyDescent="0.25">
      <c r="A18" s="103" t="s">
        <v>12</v>
      </c>
      <c r="B18" s="106">
        <f>B17</f>
        <v>33333.360000000001</v>
      </c>
    </row>
    <row r="19" spans="1:2" x14ac:dyDescent="0.25">
      <c r="A19" s="103" t="s">
        <v>13</v>
      </c>
      <c r="B19" s="104"/>
    </row>
    <row r="20" spans="1:2" x14ac:dyDescent="0.25">
      <c r="A20" s="103" t="s">
        <v>14</v>
      </c>
      <c r="B20" s="105">
        <f>0</f>
        <v>0</v>
      </c>
    </row>
    <row r="21" spans="1:2" x14ac:dyDescent="0.25">
      <c r="A21" s="103" t="s">
        <v>15</v>
      </c>
      <c r="B21" s="106">
        <f>B20</f>
        <v>0</v>
      </c>
    </row>
    <row r="22" spans="1:2" x14ac:dyDescent="0.25">
      <c r="A22" s="103" t="s">
        <v>16</v>
      </c>
      <c r="B22" s="106">
        <f>((B15)+(B18))+(B21)</f>
        <v>61138.73</v>
      </c>
    </row>
    <row r="23" spans="1:2" x14ac:dyDescent="0.25">
      <c r="A23" s="103" t="s">
        <v>17</v>
      </c>
      <c r="B23" s="104"/>
    </row>
    <row r="24" spans="1:2" x14ac:dyDescent="0.25">
      <c r="A24" s="103" t="s">
        <v>18</v>
      </c>
      <c r="B24" s="105">
        <f>12328.97</f>
        <v>12328.97</v>
      </c>
    </row>
    <row r="25" spans="1:2" x14ac:dyDescent="0.25">
      <c r="A25" s="103" t="s">
        <v>19</v>
      </c>
      <c r="B25" s="105">
        <f>-2328.97</f>
        <v>-2328.9699999999998</v>
      </c>
    </row>
    <row r="26" spans="1:2" x14ac:dyDescent="0.25">
      <c r="A26" s="103" t="s">
        <v>20</v>
      </c>
      <c r="B26" s="106">
        <f>(B24)+(B25)</f>
        <v>10000</v>
      </c>
    </row>
    <row r="27" spans="1:2" x14ac:dyDescent="0.25">
      <c r="A27" s="103" t="s">
        <v>21</v>
      </c>
      <c r="B27" s="106">
        <f>B26</f>
        <v>10000</v>
      </c>
    </row>
    <row r="28" spans="1:2" x14ac:dyDescent="0.25">
      <c r="A28" s="103" t="s">
        <v>22</v>
      </c>
      <c r="B28" s="104"/>
    </row>
    <row r="29" spans="1:2" x14ac:dyDescent="0.25">
      <c r="A29" s="103" t="s">
        <v>23</v>
      </c>
      <c r="B29" s="105">
        <f>0</f>
        <v>0</v>
      </c>
    </row>
    <row r="30" spans="1:2" x14ac:dyDescent="0.25">
      <c r="A30" s="103" t="s">
        <v>24</v>
      </c>
      <c r="B30" s="105">
        <f>11445423.98</f>
        <v>11445423.98</v>
      </c>
    </row>
    <row r="31" spans="1:2" x14ac:dyDescent="0.25">
      <c r="A31" s="103" t="s">
        <v>25</v>
      </c>
      <c r="B31" s="105">
        <f>5550110.35</f>
        <v>5550110.3499999996</v>
      </c>
    </row>
    <row r="32" spans="1:2" x14ac:dyDescent="0.25">
      <c r="A32" s="103" t="s">
        <v>26</v>
      </c>
      <c r="B32" s="105">
        <f>6767.37</f>
        <v>6767.37</v>
      </c>
    </row>
    <row r="33" spans="1:4" x14ac:dyDescent="0.25">
      <c r="A33" s="103" t="s">
        <v>27</v>
      </c>
      <c r="B33" s="106">
        <f>(((B29)+(B30))+(B31))+(B32)</f>
        <v>17002301.699999999</v>
      </c>
      <c r="C33" s="81"/>
      <c r="D33" s="81"/>
    </row>
    <row r="34" spans="1:4" x14ac:dyDescent="0.25">
      <c r="A34" s="103" t="s">
        <v>28</v>
      </c>
      <c r="B34" s="105">
        <f>-1140.64</f>
        <v>-1140.6400000000001</v>
      </c>
    </row>
    <row r="35" spans="1:4" x14ac:dyDescent="0.25">
      <c r="A35" s="103" t="s">
        <v>29</v>
      </c>
      <c r="B35" s="105">
        <f>1876</f>
        <v>1876</v>
      </c>
    </row>
    <row r="36" spans="1:4" x14ac:dyDescent="0.25">
      <c r="A36" s="103" t="s">
        <v>30</v>
      </c>
      <c r="B36" s="106">
        <f>(B34)+(B35)</f>
        <v>735.3599999999999</v>
      </c>
    </row>
    <row r="37" spans="1:4" x14ac:dyDescent="0.25">
      <c r="A37" s="103" t="s">
        <v>31</v>
      </c>
      <c r="B37" s="105">
        <f>70214.89</f>
        <v>70214.89</v>
      </c>
    </row>
    <row r="38" spans="1:4" x14ac:dyDescent="0.25">
      <c r="A38" s="103" t="s">
        <v>32</v>
      </c>
      <c r="B38" s="105">
        <f>4399.69</f>
        <v>4399.6899999999996</v>
      </c>
    </row>
    <row r="39" spans="1:4" x14ac:dyDescent="0.25">
      <c r="A39" s="103" t="s">
        <v>33</v>
      </c>
      <c r="B39" s="105">
        <f>0</f>
        <v>0</v>
      </c>
    </row>
    <row r="40" spans="1:4" x14ac:dyDescent="0.25">
      <c r="A40" s="103" t="s">
        <v>34</v>
      </c>
      <c r="B40" s="105">
        <f>0</f>
        <v>0</v>
      </c>
    </row>
    <row r="41" spans="1:4" x14ac:dyDescent="0.25">
      <c r="A41" s="103" t="s">
        <v>35</v>
      </c>
      <c r="B41" s="105">
        <f>0</f>
        <v>0</v>
      </c>
    </row>
    <row r="42" spans="1:4" x14ac:dyDescent="0.25">
      <c r="A42" s="103" t="s">
        <v>36</v>
      </c>
      <c r="B42" s="106">
        <f>((((((B33)+(B36))+(B37))+(B38))+(B39))+(B40))+(B41)</f>
        <v>17077651.640000001</v>
      </c>
    </row>
    <row r="43" spans="1:4" x14ac:dyDescent="0.25">
      <c r="A43" s="103" t="s">
        <v>37</v>
      </c>
      <c r="B43" s="106">
        <f>((B22)+(B27))+(B42)</f>
        <v>17148790.370000001</v>
      </c>
    </row>
    <row r="44" spans="1:4" x14ac:dyDescent="0.25">
      <c r="A44" s="103" t="s">
        <v>38</v>
      </c>
      <c r="B44" s="104"/>
    </row>
    <row r="45" spans="1:4" x14ac:dyDescent="0.25">
      <c r="A45" s="103" t="s">
        <v>39</v>
      </c>
      <c r="B45" s="104"/>
    </row>
    <row r="46" spans="1:4" x14ac:dyDescent="0.25">
      <c r="A46" s="103" t="s">
        <v>40</v>
      </c>
      <c r="B46" s="104"/>
    </row>
    <row r="47" spans="1:4" x14ac:dyDescent="0.25">
      <c r="A47" s="103" t="s">
        <v>41</v>
      </c>
      <c r="B47" s="104"/>
    </row>
    <row r="48" spans="1:4" x14ac:dyDescent="0.25">
      <c r="A48" s="103" t="s">
        <v>42</v>
      </c>
      <c r="B48" s="105">
        <f>5393</f>
        <v>5393</v>
      </c>
    </row>
    <row r="49" spans="1:2" x14ac:dyDescent="0.25">
      <c r="A49" s="103" t="s">
        <v>43</v>
      </c>
      <c r="B49" s="106">
        <f>B48</f>
        <v>5393</v>
      </c>
    </row>
    <row r="50" spans="1:2" x14ac:dyDescent="0.25">
      <c r="A50" s="103" t="s">
        <v>44</v>
      </c>
      <c r="B50" s="104"/>
    </row>
    <row r="51" spans="1:2" x14ac:dyDescent="0.25">
      <c r="A51" s="103" t="s">
        <v>45</v>
      </c>
      <c r="B51" s="105">
        <f>0</f>
        <v>0</v>
      </c>
    </row>
    <row r="52" spans="1:2" x14ac:dyDescent="0.25">
      <c r="A52" s="103" t="s">
        <v>46</v>
      </c>
      <c r="B52" s="105">
        <f>8500</f>
        <v>8500</v>
      </c>
    </row>
    <row r="53" spans="1:2" x14ac:dyDescent="0.25">
      <c r="A53" s="103" t="s">
        <v>47</v>
      </c>
      <c r="B53" s="105">
        <f>5554981.09</f>
        <v>5554981.0899999999</v>
      </c>
    </row>
    <row r="54" spans="1:2" x14ac:dyDescent="0.25">
      <c r="A54" s="103" t="s">
        <v>48</v>
      </c>
      <c r="B54" s="106">
        <f>((B51)+(B52))+(B53)</f>
        <v>5563481.0899999999</v>
      </c>
    </row>
    <row r="55" spans="1:2" x14ac:dyDescent="0.25">
      <c r="A55" s="103" t="s">
        <v>49</v>
      </c>
      <c r="B55" s="106">
        <f>(B49)+(B54)</f>
        <v>5568874.0899999999</v>
      </c>
    </row>
    <row r="56" spans="1:2" x14ac:dyDescent="0.25">
      <c r="A56" s="103" t="s">
        <v>50</v>
      </c>
      <c r="B56" s="106">
        <f>B55</f>
        <v>5568874.0899999999</v>
      </c>
    </row>
    <row r="57" spans="1:2" x14ac:dyDescent="0.25">
      <c r="A57" s="103" t="s">
        <v>51</v>
      </c>
      <c r="B57" s="104"/>
    </row>
    <row r="58" spans="1:2" x14ac:dyDescent="0.25">
      <c r="A58" s="103" t="s">
        <v>52</v>
      </c>
      <c r="B58" s="105">
        <f>3800186.96</f>
        <v>3800186.96</v>
      </c>
    </row>
    <row r="59" spans="1:2" x14ac:dyDescent="0.25">
      <c r="A59" s="103" t="s">
        <v>53</v>
      </c>
      <c r="B59" s="105">
        <f>4629794.91</f>
        <v>4629794.91</v>
      </c>
    </row>
    <row r="60" spans="1:2" x14ac:dyDescent="0.25">
      <c r="A60" s="103" t="s">
        <v>54</v>
      </c>
      <c r="B60" s="105">
        <f>761386.07</f>
        <v>761386.07</v>
      </c>
    </row>
    <row r="61" spans="1:2" x14ac:dyDescent="0.25">
      <c r="A61" s="103" t="s">
        <v>55</v>
      </c>
      <c r="B61" s="105">
        <f>1302529.31</f>
        <v>1302529.31</v>
      </c>
    </row>
    <row r="62" spans="1:2" x14ac:dyDescent="0.25">
      <c r="A62" s="103" t="s">
        <v>56</v>
      </c>
      <c r="B62" s="105">
        <f>1086019.03</f>
        <v>1086019.03</v>
      </c>
    </row>
    <row r="63" spans="1:2" x14ac:dyDescent="0.25">
      <c r="A63" s="103" t="s">
        <v>57</v>
      </c>
      <c r="B63" s="106">
        <f>((((B58)+(B59))+(B60))+(B61))+(B62)</f>
        <v>11579916.280000001</v>
      </c>
    </row>
    <row r="64" spans="1:2" x14ac:dyDescent="0.25">
      <c r="A64" s="103" t="s">
        <v>58</v>
      </c>
      <c r="B64" s="106">
        <f>(B56)+(B63)</f>
        <v>17148790.370000001</v>
      </c>
    </row>
    <row r="65" spans="1:2" x14ac:dyDescent="0.25">
      <c r="A65" s="103"/>
      <c r="B65" s="104"/>
    </row>
    <row r="66" spans="1:2" x14ac:dyDescent="0.25">
      <c r="A66" s="117" t="s">
        <v>61</v>
      </c>
      <c r="B66" s="117"/>
    </row>
    <row r="67" spans="1:2" x14ac:dyDescent="0.25">
      <c r="B67" s="80"/>
    </row>
    <row r="68" spans="1:2" x14ac:dyDescent="0.25">
      <c r="B68" s="80"/>
    </row>
  </sheetData>
  <mergeCells count="4">
    <mergeCell ref="A1:B1"/>
    <mergeCell ref="A2:B2"/>
    <mergeCell ref="A3:B3"/>
    <mergeCell ref="A66:B6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3"/>
  <sheetViews>
    <sheetView tabSelected="1" topLeftCell="F6" workbookViewId="0">
      <selection activeCell="K15" sqref="K15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22.140625" customWidth="1"/>
    <col min="12" max="13" width="11.5703125" bestFit="1" customWidth="1"/>
    <col min="14" max="14" width="9.7109375" bestFit="1" customWidth="1"/>
  </cols>
  <sheetData>
    <row r="1" spans="1:16" ht="18" x14ac:dyDescent="0.25">
      <c r="A1" s="114" t="s">
        <v>59</v>
      </c>
      <c r="B1" s="115"/>
      <c r="C1" s="115"/>
      <c r="D1" s="115"/>
      <c r="E1" s="115"/>
    </row>
    <row r="2" spans="1:16" ht="18" x14ac:dyDescent="0.25">
      <c r="A2" s="114" t="s">
        <v>186</v>
      </c>
      <c r="B2" s="115"/>
      <c r="C2" s="115"/>
      <c r="D2" s="115"/>
      <c r="E2" s="115"/>
    </row>
    <row r="3" spans="1:16" x14ac:dyDescent="0.25">
      <c r="A3" s="121" t="s">
        <v>243</v>
      </c>
      <c r="B3" s="115"/>
      <c r="C3" s="115"/>
      <c r="D3" s="115"/>
      <c r="E3" s="115"/>
    </row>
    <row r="5" spans="1:16" ht="21" x14ac:dyDescent="0.35">
      <c r="A5" s="124" t="s">
        <v>219</v>
      </c>
    </row>
    <row r="6" spans="1:16" ht="21" x14ac:dyDescent="0.35">
      <c r="A6" s="124" t="s">
        <v>220</v>
      </c>
    </row>
    <row r="7" spans="1:16" ht="21" x14ac:dyDescent="0.35">
      <c r="A7" s="124" t="s">
        <v>221</v>
      </c>
    </row>
    <row r="8" spans="1:16" x14ac:dyDescent="0.25">
      <c r="A8" s="125"/>
      <c r="B8" s="122" t="s">
        <v>0</v>
      </c>
      <c r="C8" s="123"/>
      <c r="D8" s="123"/>
      <c r="E8" s="123"/>
      <c r="K8" s="120" t="s">
        <v>245</v>
      </c>
      <c r="L8" s="120"/>
      <c r="M8" s="120"/>
      <c r="N8" s="120"/>
    </row>
    <row r="9" spans="1:16" ht="28.5" customHeight="1" thickBot="1" x14ac:dyDescent="0.3">
      <c r="A9" s="125"/>
      <c r="B9" s="83" t="s">
        <v>125</v>
      </c>
      <c r="C9" s="83" t="s">
        <v>124</v>
      </c>
      <c r="D9" s="83" t="s">
        <v>123</v>
      </c>
      <c r="E9" s="83" t="s">
        <v>122</v>
      </c>
      <c r="K9" s="119" t="s">
        <v>230</v>
      </c>
      <c r="L9" s="119"/>
      <c r="M9" s="119"/>
      <c r="N9" s="119"/>
    </row>
    <row r="10" spans="1:16" x14ac:dyDescent="0.25">
      <c r="A10" s="126" t="s">
        <v>120</v>
      </c>
      <c r="B10" s="90"/>
      <c r="C10" s="90"/>
      <c r="D10" s="91">
        <f t="shared" ref="D10:D19" si="0">(B10)-(C10)</f>
        <v>0</v>
      </c>
      <c r="E10" s="87" t="str">
        <f t="shared" ref="E10:E19" si="1">IF(C10=0,"",(B10)/(C10))</f>
        <v/>
      </c>
      <c r="L10" t="s">
        <v>125</v>
      </c>
      <c r="M10" t="s">
        <v>124</v>
      </c>
      <c r="N10" t="s">
        <v>181</v>
      </c>
    </row>
    <row r="11" spans="1:16" x14ac:dyDescent="0.25">
      <c r="A11" s="126" t="s">
        <v>119</v>
      </c>
      <c r="B11" s="5">
        <f>44554.85</f>
        <v>44554.85</v>
      </c>
      <c r="C11" s="5">
        <f>26125</f>
        <v>26125</v>
      </c>
      <c r="D11" s="5">
        <f t="shared" si="0"/>
        <v>18429.849999999999</v>
      </c>
      <c r="E11" s="87">
        <f t="shared" si="1"/>
        <v>1.7054488038277511</v>
      </c>
      <c r="G11" t="s">
        <v>228</v>
      </c>
      <c r="K11" t="s">
        <v>231</v>
      </c>
      <c r="L11" s="97">
        <v>44554.85</v>
      </c>
      <c r="M11" s="97">
        <v>26125</v>
      </c>
      <c r="N11" s="97">
        <f>+L11-M11</f>
        <v>18429.849999999999</v>
      </c>
      <c r="O11" s="98"/>
      <c r="P11" s="98"/>
    </row>
    <row r="12" spans="1:16" x14ac:dyDescent="0.25">
      <c r="A12" s="126" t="s">
        <v>118</v>
      </c>
      <c r="B12" s="2"/>
      <c r="C12" s="2"/>
      <c r="D12" s="5">
        <f t="shared" si="0"/>
        <v>0</v>
      </c>
      <c r="E12" s="87" t="str">
        <f t="shared" si="1"/>
        <v/>
      </c>
      <c r="L12" s="98"/>
      <c r="M12" s="98"/>
      <c r="N12" s="98"/>
      <c r="O12" s="98"/>
      <c r="P12" s="98"/>
    </row>
    <row r="13" spans="1:16" x14ac:dyDescent="0.25">
      <c r="A13" s="126" t="s">
        <v>117</v>
      </c>
      <c r="B13" s="5">
        <f>112933.62</f>
        <v>112933.62</v>
      </c>
      <c r="C13" s="5">
        <f>108750</f>
        <v>108750</v>
      </c>
      <c r="D13" s="5">
        <f t="shared" si="0"/>
        <v>4183.6199999999953</v>
      </c>
      <c r="E13" s="87">
        <f t="shared" si="1"/>
        <v>1.0384700689655173</v>
      </c>
      <c r="G13" t="s">
        <v>226</v>
      </c>
      <c r="K13" t="s">
        <v>233</v>
      </c>
      <c r="L13" s="97">
        <v>112933.62</v>
      </c>
      <c r="M13" s="97">
        <v>108750</v>
      </c>
      <c r="N13" s="97">
        <f>+L13-M13</f>
        <v>4183.6199999999953</v>
      </c>
      <c r="O13" s="98"/>
      <c r="P13" s="98"/>
    </row>
    <row r="14" spans="1:16" x14ac:dyDescent="0.25">
      <c r="A14" s="126" t="s">
        <v>187</v>
      </c>
      <c r="B14" s="4">
        <f>(B12)+(B13)</f>
        <v>112933.62</v>
      </c>
      <c r="C14" s="4">
        <f>(C12)+(C13)</f>
        <v>108750</v>
      </c>
      <c r="D14" s="4">
        <f t="shared" si="0"/>
        <v>4183.6199999999953</v>
      </c>
      <c r="E14" s="88">
        <f t="shared" si="1"/>
        <v>1.0384700689655173</v>
      </c>
      <c r="K14" t="s">
        <v>234</v>
      </c>
      <c r="L14" s="97">
        <v>37500</v>
      </c>
      <c r="M14" s="97">
        <v>37500</v>
      </c>
      <c r="N14" s="97">
        <f>+L14-M14</f>
        <v>0</v>
      </c>
      <c r="O14" s="98"/>
      <c r="P14" s="98"/>
    </row>
    <row r="15" spans="1:16" x14ac:dyDescent="0.25">
      <c r="A15" s="126" t="s">
        <v>188</v>
      </c>
      <c r="B15" s="5">
        <f>37500.03</f>
        <v>37500.03</v>
      </c>
      <c r="C15" s="5">
        <f>37500.03</f>
        <v>37500.03</v>
      </c>
      <c r="D15" s="5">
        <f t="shared" si="0"/>
        <v>0</v>
      </c>
      <c r="E15" s="87">
        <f t="shared" si="1"/>
        <v>1</v>
      </c>
      <c r="H15" s="76"/>
      <c r="K15" s="99" t="s">
        <v>235</v>
      </c>
      <c r="L15" s="100">
        <v>906.14</v>
      </c>
      <c r="M15" s="100">
        <v>0</v>
      </c>
      <c r="N15" s="100">
        <f>+L15-M15</f>
        <v>906.14</v>
      </c>
      <c r="O15" s="98"/>
      <c r="P15" s="98"/>
    </row>
    <row r="16" spans="1:16" x14ac:dyDescent="0.25">
      <c r="A16" s="126" t="s">
        <v>116</v>
      </c>
      <c r="B16" s="4">
        <f>(((B10)+(B11))+(B14))+(B15)</f>
        <v>194988.5</v>
      </c>
      <c r="C16" s="4">
        <f>(((C10)+(C11))+(C14))+(C15)</f>
        <v>172375.03</v>
      </c>
      <c r="D16" s="4">
        <f t="shared" si="0"/>
        <v>22613.47</v>
      </c>
      <c r="E16" s="88">
        <f t="shared" si="1"/>
        <v>1.1311876203879414</v>
      </c>
      <c r="L16" s="97"/>
      <c r="M16" s="97"/>
      <c r="N16" s="97"/>
      <c r="O16" s="98"/>
      <c r="P16" s="98"/>
    </row>
    <row r="17" spans="1:16" x14ac:dyDescent="0.25">
      <c r="A17" s="126" t="s">
        <v>115</v>
      </c>
      <c r="B17" s="5">
        <f>906.14</f>
        <v>906.14</v>
      </c>
      <c r="C17" s="2"/>
      <c r="D17" s="5">
        <f t="shared" si="0"/>
        <v>906.14</v>
      </c>
      <c r="E17" s="87" t="str">
        <f t="shared" si="1"/>
        <v/>
      </c>
      <c r="L17" s="97"/>
      <c r="M17" s="97"/>
      <c r="N17" s="97"/>
      <c r="O17" s="98"/>
      <c r="P17" s="98"/>
    </row>
    <row r="18" spans="1:16" x14ac:dyDescent="0.25">
      <c r="A18" s="126" t="s">
        <v>114</v>
      </c>
      <c r="B18" s="4">
        <f>(B16)+(B17)</f>
        <v>195894.64</v>
      </c>
      <c r="C18" s="4">
        <f>(C16)+(C17)</f>
        <v>172375.03</v>
      </c>
      <c r="D18" s="4">
        <f t="shared" si="0"/>
        <v>23519.610000000015</v>
      </c>
      <c r="E18" s="88">
        <f t="shared" si="1"/>
        <v>1.1364444142518786</v>
      </c>
      <c r="K18" t="s">
        <v>232</v>
      </c>
      <c r="L18" s="97">
        <f>+L11+L13+L14+L15</f>
        <v>195894.61000000002</v>
      </c>
      <c r="M18" s="97">
        <f t="shared" ref="M18:N18" si="2">+M11+M13+M14+M15</f>
        <v>172375</v>
      </c>
      <c r="N18" s="97">
        <f t="shared" si="2"/>
        <v>23519.609999999993</v>
      </c>
      <c r="O18" s="98"/>
      <c r="P18" s="98"/>
    </row>
    <row r="19" spans="1:16" x14ac:dyDescent="0.25">
      <c r="A19" s="126" t="s">
        <v>113</v>
      </c>
      <c r="B19" s="4">
        <f>(B18)-(0)</f>
        <v>195894.64</v>
      </c>
      <c r="C19" s="4">
        <f>(C18)-(0)</f>
        <v>172375.03</v>
      </c>
      <c r="D19" s="4">
        <f t="shared" si="0"/>
        <v>23519.610000000015</v>
      </c>
      <c r="E19" s="88">
        <f t="shared" si="1"/>
        <v>1.1364444142518786</v>
      </c>
      <c r="L19" s="98"/>
      <c r="M19" s="98"/>
      <c r="N19" s="98"/>
      <c r="O19" s="98"/>
      <c r="P19" s="98"/>
    </row>
    <row r="20" spans="1:16" x14ac:dyDescent="0.25">
      <c r="A20" s="126" t="s">
        <v>112</v>
      </c>
      <c r="B20" s="2"/>
      <c r="C20" s="2"/>
      <c r="D20" s="2"/>
      <c r="E20" s="2"/>
      <c r="H20" s="76">
        <f>+D19</f>
        <v>23519.610000000015</v>
      </c>
      <c r="I20" t="s">
        <v>222</v>
      </c>
      <c r="K20" t="s">
        <v>236</v>
      </c>
      <c r="L20" s="100">
        <f>+B63</f>
        <v>204659.90000000002</v>
      </c>
      <c r="M20" s="100">
        <f>+C63</f>
        <v>213374.97</v>
      </c>
      <c r="N20" s="100">
        <f>+M20-L20</f>
        <v>8715.0699999999779</v>
      </c>
      <c r="O20" s="98"/>
      <c r="P20" s="98"/>
    </row>
    <row r="21" spans="1:16" x14ac:dyDescent="0.25">
      <c r="A21" s="126" t="s">
        <v>229</v>
      </c>
      <c r="B21" s="5">
        <f>1986.2</f>
        <v>1986.2</v>
      </c>
      <c r="C21" s="5">
        <f>3750.03</f>
        <v>3750.03</v>
      </c>
      <c r="D21" s="5">
        <f t="shared" ref="D21:D38" si="3">(B21)-(C21)</f>
        <v>-1763.8300000000002</v>
      </c>
      <c r="E21" s="87">
        <f t="shared" ref="E21:E38" si="4">IF(C21=0,"",(B21)/(C21))</f>
        <v>0.52964909614056421</v>
      </c>
      <c r="L21" s="97"/>
      <c r="M21" s="97"/>
      <c r="N21" s="97"/>
      <c r="O21" s="98"/>
      <c r="P21" s="98"/>
    </row>
    <row r="22" spans="1:16" ht="15.75" thickBot="1" x14ac:dyDescent="0.3">
      <c r="A22" s="126" t="s">
        <v>189</v>
      </c>
      <c r="B22" s="2"/>
      <c r="C22" s="5">
        <f>9000</f>
        <v>9000</v>
      </c>
      <c r="D22" s="5">
        <f t="shared" si="3"/>
        <v>-9000</v>
      </c>
      <c r="E22" s="87">
        <f t="shared" si="4"/>
        <v>0</v>
      </c>
      <c r="K22" t="s">
        <v>237</v>
      </c>
      <c r="L22" s="101">
        <f>+L18-L20</f>
        <v>-8765.2900000000081</v>
      </c>
      <c r="M22" s="101">
        <f t="shared" ref="M22" si="5">+M18-M20</f>
        <v>-40999.97</v>
      </c>
      <c r="N22" s="101">
        <f>+N18+N20</f>
        <v>32234.679999999971</v>
      </c>
      <c r="O22" s="98"/>
      <c r="P22" s="98"/>
    </row>
    <row r="23" spans="1:16" ht="15.75" thickTop="1" x14ac:dyDescent="0.25">
      <c r="A23" s="126" t="s">
        <v>211</v>
      </c>
      <c r="B23" s="2"/>
      <c r="C23" s="5">
        <f>7499.97</f>
        <v>7499.97</v>
      </c>
      <c r="D23" s="5">
        <f t="shared" si="3"/>
        <v>-7499.97</v>
      </c>
      <c r="E23" s="87">
        <f t="shared" si="4"/>
        <v>0</v>
      </c>
      <c r="L23" s="97"/>
      <c r="M23" s="97"/>
      <c r="N23" s="97"/>
      <c r="O23" s="98"/>
      <c r="P23" s="98"/>
    </row>
    <row r="24" spans="1:16" x14ac:dyDescent="0.25">
      <c r="A24" s="126" t="s">
        <v>111</v>
      </c>
      <c r="B24" s="5">
        <f>1209.2</f>
        <v>1209.2</v>
      </c>
      <c r="C24" s="5">
        <f>74.97</f>
        <v>74.97</v>
      </c>
      <c r="D24" s="5">
        <f t="shared" si="3"/>
        <v>1134.23</v>
      </c>
      <c r="E24" s="87">
        <f t="shared" si="4"/>
        <v>16.129118313992265</v>
      </c>
      <c r="L24" s="97"/>
      <c r="M24" s="97"/>
      <c r="N24" s="97"/>
      <c r="O24" s="98"/>
      <c r="P24" s="98"/>
    </row>
    <row r="25" spans="1:16" x14ac:dyDescent="0.25">
      <c r="A25" s="126" t="s">
        <v>110</v>
      </c>
      <c r="B25" s="5">
        <f>900</f>
        <v>900</v>
      </c>
      <c r="C25" s="5">
        <f>900</f>
        <v>900</v>
      </c>
      <c r="D25" s="5">
        <f t="shared" si="3"/>
        <v>0</v>
      </c>
      <c r="E25" s="87">
        <f t="shared" si="4"/>
        <v>1</v>
      </c>
      <c r="F25" t="s">
        <v>205</v>
      </c>
      <c r="G25" s="78">
        <f>SUM(B21:B33)</f>
        <v>24156.47</v>
      </c>
      <c r="L25" s="107"/>
      <c r="M25" s="107"/>
      <c r="N25" s="97"/>
      <c r="O25" s="98"/>
      <c r="P25" s="98"/>
    </row>
    <row r="26" spans="1:16" x14ac:dyDescent="0.25">
      <c r="A26" s="126" t="s">
        <v>109</v>
      </c>
      <c r="B26" s="2"/>
      <c r="C26" s="5">
        <f>4631.22</f>
        <v>4631.22</v>
      </c>
      <c r="D26" s="5">
        <f t="shared" si="3"/>
        <v>-4631.22</v>
      </c>
      <c r="E26" s="87">
        <f t="shared" si="4"/>
        <v>0</v>
      </c>
      <c r="F26" t="s">
        <v>206</v>
      </c>
      <c r="G26" s="78">
        <f>SUM(C21:C34)</f>
        <v>53268.84</v>
      </c>
      <c r="L26" s="107"/>
      <c r="M26" s="107"/>
      <c r="N26" s="97"/>
      <c r="O26" s="98"/>
      <c r="P26" s="98"/>
    </row>
    <row r="27" spans="1:16" x14ac:dyDescent="0.25">
      <c r="A27" s="126" t="s">
        <v>227</v>
      </c>
      <c r="B27" s="5">
        <f>847.14</f>
        <v>847.14</v>
      </c>
      <c r="C27" s="2"/>
      <c r="D27" s="5">
        <f t="shared" si="3"/>
        <v>847.14</v>
      </c>
      <c r="E27" s="87" t="str">
        <f t="shared" si="4"/>
        <v/>
      </c>
      <c r="G27" s="75">
        <f>+G26-G25</f>
        <v>29112.369999999995</v>
      </c>
      <c r="L27" s="107"/>
      <c r="M27" s="107"/>
      <c r="N27" s="97"/>
      <c r="O27" s="98"/>
      <c r="P27" s="98"/>
    </row>
    <row r="28" spans="1:16" x14ac:dyDescent="0.25">
      <c r="A28" s="126" t="s">
        <v>108</v>
      </c>
      <c r="B28" s="5">
        <f>313.93</f>
        <v>313.93</v>
      </c>
      <c r="C28" s="5">
        <f>3750.03</f>
        <v>3750.03</v>
      </c>
      <c r="D28" s="5">
        <f t="shared" si="3"/>
        <v>-3436.1000000000004</v>
      </c>
      <c r="E28" s="87">
        <f t="shared" si="4"/>
        <v>8.3713996954691033E-2</v>
      </c>
      <c r="G28" s="75"/>
      <c r="L28" s="107"/>
      <c r="M28" s="107"/>
      <c r="N28" s="97"/>
      <c r="O28" s="98"/>
      <c r="P28" s="98"/>
    </row>
    <row r="29" spans="1:16" x14ac:dyDescent="0.25">
      <c r="A29" s="126" t="s">
        <v>209</v>
      </c>
      <c r="B29" s="5">
        <f>18000</f>
        <v>18000</v>
      </c>
      <c r="C29" s="5">
        <f>21750.03</f>
        <v>21750.03</v>
      </c>
      <c r="D29" s="5">
        <f t="shared" si="3"/>
        <v>-3750.0299999999988</v>
      </c>
      <c r="E29" s="87">
        <f t="shared" si="4"/>
        <v>0.82758506539990984</v>
      </c>
      <c r="G29" s="77"/>
      <c r="H29" s="80">
        <f>+D21+D22+D23+D24+D25+D26+D27+D29+D30+D31+D32+D33+D28</f>
        <v>-29112.369999999995</v>
      </c>
      <c r="I29" t="s">
        <v>201</v>
      </c>
      <c r="L29" s="107"/>
      <c r="M29" s="107"/>
      <c r="N29" s="97"/>
    </row>
    <row r="30" spans="1:16" x14ac:dyDescent="0.25">
      <c r="A30" s="126" t="s">
        <v>107</v>
      </c>
      <c r="B30" s="2"/>
      <c r="C30" s="5">
        <f>37.53</f>
        <v>37.53</v>
      </c>
      <c r="D30" s="5">
        <f t="shared" si="3"/>
        <v>-37.53</v>
      </c>
      <c r="E30" s="87">
        <f t="shared" si="4"/>
        <v>0</v>
      </c>
      <c r="L30" s="107"/>
      <c r="M30" s="107"/>
      <c r="N30" s="97"/>
    </row>
    <row r="31" spans="1:16" x14ac:dyDescent="0.25">
      <c r="A31" s="126" t="s">
        <v>106</v>
      </c>
      <c r="B31" s="5">
        <f>900</f>
        <v>900</v>
      </c>
      <c r="C31" s="5">
        <f>1500.03</f>
        <v>1500.03</v>
      </c>
      <c r="D31" s="5">
        <f t="shared" si="3"/>
        <v>-600.03</v>
      </c>
      <c r="E31" s="87">
        <f t="shared" si="4"/>
        <v>0.59998800023999521</v>
      </c>
      <c r="L31" s="107"/>
      <c r="M31" s="107"/>
      <c r="N31" s="97"/>
    </row>
    <row r="32" spans="1:16" x14ac:dyDescent="0.25">
      <c r="A32" s="126" t="s">
        <v>105</v>
      </c>
      <c r="B32" s="2"/>
      <c r="C32" s="5">
        <f>375.03</f>
        <v>375.03</v>
      </c>
      <c r="D32" s="5">
        <f t="shared" si="3"/>
        <v>-375.03</v>
      </c>
      <c r="E32" s="87">
        <f t="shared" si="4"/>
        <v>0</v>
      </c>
      <c r="L32" s="107"/>
      <c r="M32" s="107"/>
      <c r="N32" s="97"/>
    </row>
    <row r="33" spans="1:12" x14ac:dyDescent="0.25">
      <c r="A33" s="126" t="s">
        <v>104</v>
      </c>
      <c r="B33" s="2"/>
      <c r="C33" s="2"/>
      <c r="D33" s="5">
        <f t="shared" si="3"/>
        <v>0</v>
      </c>
      <c r="E33" s="87" t="str">
        <f t="shared" si="4"/>
        <v/>
      </c>
      <c r="G33" t="s">
        <v>216</v>
      </c>
    </row>
    <row r="34" spans="1:12" x14ac:dyDescent="0.25">
      <c r="A34" s="126" t="s">
        <v>103</v>
      </c>
      <c r="B34" s="5">
        <f>4695.88</f>
        <v>4695.88</v>
      </c>
      <c r="C34" s="2"/>
      <c r="D34" s="5">
        <f t="shared" si="3"/>
        <v>4695.88</v>
      </c>
      <c r="E34" s="87" t="str">
        <f t="shared" si="4"/>
        <v/>
      </c>
      <c r="F34" t="s">
        <v>205</v>
      </c>
      <c r="G34" s="80">
        <f>SUM(B34:B37)</f>
        <v>115453.65999999999</v>
      </c>
    </row>
    <row r="35" spans="1:12" x14ac:dyDescent="0.25">
      <c r="A35" s="126" t="s">
        <v>102</v>
      </c>
      <c r="B35" s="5">
        <f>99580.9</f>
        <v>99580.9</v>
      </c>
      <c r="C35" s="5">
        <f>105732.72</f>
        <v>105732.72</v>
      </c>
      <c r="D35" s="5">
        <f t="shared" si="3"/>
        <v>-6151.820000000007</v>
      </c>
      <c r="E35" s="87">
        <f t="shared" si="4"/>
        <v>0.94181725392101889</v>
      </c>
      <c r="F35" t="s">
        <v>206</v>
      </c>
      <c r="G35" s="80">
        <f>SUM(C34:C37)</f>
        <v>117056.16</v>
      </c>
      <c r="H35" s="78"/>
      <c r="L35" s="107"/>
    </row>
    <row r="36" spans="1:12" x14ac:dyDescent="0.25">
      <c r="A36" s="126" t="s">
        <v>101</v>
      </c>
      <c r="B36" s="5">
        <f>664.76</f>
        <v>664.76</v>
      </c>
      <c r="C36" s="5">
        <f>749.97</f>
        <v>749.97</v>
      </c>
      <c r="D36" s="5">
        <f t="shared" si="3"/>
        <v>-85.210000000000036</v>
      </c>
      <c r="E36" s="87">
        <f t="shared" si="4"/>
        <v>0.88638212195154464</v>
      </c>
      <c r="G36" s="80">
        <f>+G34-G35</f>
        <v>-1602.5000000000146</v>
      </c>
      <c r="H36" s="81">
        <f>+G36</f>
        <v>-1602.5000000000146</v>
      </c>
      <c r="I36" t="s">
        <v>201</v>
      </c>
      <c r="L36" s="107"/>
    </row>
    <row r="37" spans="1:12" x14ac:dyDescent="0.25">
      <c r="A37" s="126" t="s">
        <v>100</v>
      </c>
      <c r="B37" s="5">
        <f>10512.12</f>
        <v>10512.12</v>
      </c>
      <c r="C37" s="5">
        <f>10573.47</f>
        <v>10573.47</v>
      </c>
      <c r="D37" s="5">
        <f t="shared" si="3"/>
        <v>-61.349999999998545</v>
      </c>
      <c r="E37" s="87">
        <f t="shared" si="4"/>
        <v>0.99419774208467049</v>
      </c>
      <c r="F37">
        <f>250*4</f>
        <v>1000</v>
      </c>
      <c r="G37" s="80"/>
    </row>
    <row r="38" spans="1:12" x14ac:dyDescent="0.25">
      <c r="A38" s="126" t="s">
        <v>99</v>
      </c>
      <c r="B38" s="4">
        <f>((((B33)+(B34))+(B35))+(B36))+(B37)</f>
        <v>115453.65999999999</v>
      </c>
      <c r="C38" s="4">
        <f>((((C33)+(C34))+(C35))+(C36))+(C37)</f>
        <v>117056.16</v>
      </c>
      <c r="D38" s="4">
        <f t="shared" si="3"/>
        <v>-1602.5000000000146</v>
      </c>
      <c r="E38" s="88">
        <f t="shared" si="4"/>
        <v>0.98630999000821473</v>
      </c>
      <c r="L38" s="107"/>
    </row>
    <row r="39" spans="1:12" x14ac:dyDescent="0.25">
      <c r="A39" s="126" t="s">
        <v>98</v>
      </c>
      <c r="B39" s="90"/>
      <c r="C39" s="90"/>
      <c r="D39" s="91">
        <f t="shared" ref="D39:D64" si="6">(B39)-(C39)</f>
        <v>0</v>
      </c>
      <c r="E39" s="87" t="str">
        <f t="shared" ref="E39:E64" si="7">IF(C39=0,"",(B39)/(C39))</f>
        <v/>
      </c>
    </row>
    <row r="40" spans="1:12" x14ac:dyDescent="0.25">
      <c r="A40" s="126" t="s">
        <v>97</v>
      </c>
      <c r="B40" s="5">
        <f>19800</f>
        <v>19800</v>
      </c>
      <c r="C40" s="5">
        <f>19800</f>
        <v>19800</v>
      </c>
      <c r="D40" s="5">
        <f t="shared" si="6"/>
        <v>0</v>
      </c>
      <c r="E40" s="87">
        <f t="shared" si="7"/>
        <v>1</v>
      </c>
      <c r="L40" s="107"/>
    </row>
    <row r="41" spans="1:12" x14ac:dyDescent="0.25">
      <c r="A41" s="126" t="s">
        <v>96</v>
      </c>
      <c r="B41" s="5">
        <f>12500</f>
        <v>12500</v>
      </c>
      <c r="C41" s="5">
        <f>7700</f>
        <v>7700</v>
      </c>
      <c r="D41" s="5">
        <f t="shared" si="6"/>
        <v>4800</v>
      </c>
      <c r="E41" s="87">
        <f t="shared" si="7"/>
        <v>1.6233766233766234</v>
      </c>
      <c r="L41" s="107"/>
    </row>
    <row r="42" spans="1:12" x14ac:dyDescent="0.25">
      <c r="A42" s="126" t="s">
        <v>95</v>
      </c>
      <c r="B42" s="5">
        <f>7333.38</f>
        <v>7333.38</v>
      </c>
      <c r="C42" s="5">
        <f>749.97</f>
        <v>749.97</v>
      </c>
      <c r="D42" s="5">
        <f t="shared" si="6"/>
        <v>6583.41</v>
      </c>
      <c r="E42" s="87">
        <f t="shared" si="7"/>
        <v>9.7782311292451691</v>
      </c>
    </row>
    <row r="43" spans="1:12" x14ac:dyDescent="0.25">
      <c r="A43" s="126" t="s">
        <v>94</v>
      </c>
      <c r="B43" s="4">
        <f>(((B39)+(B40))+(B41))+(B42)</f>
        <v>39633.379999999997</v>
      </c>
      <c r="C43" s="4">
        <f>(((C39)+(C40))+(C41))+(C42)</f>
        <v>28249.97</v>
      </c>
      <c r="D43" s="4">
        <f t="shared" si="6"/>
        <v>11383.409999999996</v>
      </c>
      <c r="E43" s="88">
        <f t="shared" si="7"/>
        <v>1.4029529942863654</v>
      </c>
      <c r="L43" s="107"/>
    </row>
    <row r="44" spans="1:12" x14ac:dyDescent="0.25">
      <c r="A44" s="126" t="s">
        <v>93</v>
      </c>
      <c r="B44" s="2"/>
      <c r="C44" s="2"/>
      <c r="D44" s="5">
        <f t="shared" si="6"/>
        <v>0</v>
      </c>
      <c r="E44" s="87" t="str">
        <f t="shared" si="7"/>
        <v/>
      </c>
      <c r="H44" s="76">
        <f>+D43</f>
        <v>11383.409999999996</v>
      </c>
      <c r="I44" t="s">
        <v>244</v>
      </c>
    </row>
    <row r="45" spans="1:12" x14ac:dyDescent="0.25">
      <c r="A45" s="126" t="s">
        <v>92</v>
      </c>
      <c r="B45" s="5">
        <f>0</f>
        <v>0</v>
      </c>
      <c r="C45" s="2"/>
      <c r="D45" s="5">
        <f t="shared" si="6"/>
        <v>0</v>
      </c>
      <c r="E45" s="87" t="str">
        <f t="shared" si="7"/>
        <v/>
      </c>
    </row>
    <row r="46" spans="1:12" x14ac:dyDescent="0.25">
      <c r="A46" s="126" t="s">
        <v>91</v>
      </c>
      <c r="B46" s="5">
        <f>8775.64</f>
        <v>8775.64</v>
      </c>
      <c r="C46" s="5">
        <f>8800</f>
        <v>8800</v>
      </c>
      <c r="D46" s="5">
        <f t="shared" si="6"/>
        <v>-24.360000000000582</v>
      </c>
      <c r="E46" s="87">
        <f t="shared" si="7"/>
        <v>0.99723181818181816</v>
      </c>
      <c r="L46" s="71"/>
    </row>
    <row r="47" spans="1:12" x14ac:dyDescent="0.25">
      <c r="A47" s="126" t="s">
        <v>90</v>
      </c>
      <c r="B47" s="4">
        <f>((B44)+(B45))+(B46)</f>
        <v>8775.64</v>
      </c>
      <c r="C47" s="4">
        <f>((C44)+(C45))+(C46)</f>
        <v>8800</v>
      </c>
      <c r="D47" s="4">
        <f t="shared" si="6"/>
        <v>-24.360000000000582</v>
      </c>
      <c r="E47" s="88">
        <f t="shared" si="7"/>
        <v>0.99723181818181816</v>
      </c>
    </row>
    <row r="48" spans="1:12" x14ac:dyDescent="0.25">
      <c r="A48" s="126" t="s">
        <v>89</v>
      </c>
      <c r="B48" s="2"/>
      <c r="C48" s="2"/>
      <c r="D48" s="5">
        <f t="shared" si="6"/>
        <v>0</v>
      </c>
      <c r="E48" s="87" t="str">
        <f t="shared" si="7"/>
        <v/>
      </c>
      <c r="H48" s="76">
        <f>+D47</f>
        <v>-24.360000000000582</v>
      </c>
      <c r="I48" t="s">
        <v>202</v>
      </c>
    </row>
    <row r="49" spans="1:12" x14ac:dyDescent="0.25">
      <c r="A49" s="126" t="s">
        <v>88</v>
      </c>
      <c r="B49" s="5">
        <f>1961.26</f>
        <v>1961.26</v>
      </c>
      <c r="C49" s="5">
        <f>749.97</f>
        <v>749.97</v>
      </c>
      <c r="D49" s="5">
        <f t="shared" si="6"/>
        <v>1211.29</v>
      </c>
      <c r="E49" s="87">
        <f t="shared" si="7"/>
        <v>2.6151179380508554</v>
      </c>
    </row>
    <row r="50" spans="1:12" x14ac:dyDescent="0.25">
      <c r="A50" s="126" t="s">
        <v>87</v>
      </c>
      <c r="B50" s="5">
        <f>348.85</f>
        <v>348.85</v>
      </c>
      <c r="C50" s="5">
        <f>375.03</f>
        <v>375.03</v>
      </c>
      <c r="D50" s="5">
        <f t="shared" si="6"/>
        <v>-26.17999999999995</v>
      </c>
      <c r="E50" s="87">
        <f t="shared" si="7"/>
        <v>0.93019225128656391</v>
      </c>
    </row>
    <row r="51" spans="1:12" x14ac:dyDescent="0.25">
      <c r="A51" s="126" t="s">
        <v>86</v>
      </c>
      <c r="B51" s="5">
        <f>318.74</f>
        <v>318.74</v>
      </c>
      <c r="C51" s="5">
        <f>749.97</f>
        <v>749.97</v>
      </c>
      <c r="D51" s="5">
        <f t="shared" si="6"/>
        <v>-431.23</v>
      </c>
      <c r="E51" s="87">
        <f t="shared" si="7"/>
        <v>0.42500366681333918</v>
      </c>
    </row>
    <row r="52" spans="1:12" x14ac:dyDescent="0.25">
      <c r="A52" s="126" t="s">
        <v>85</v>
      </c>
      <c r="B52" s="5">
        <f>1375.04</f>
        <v>1375.04</v>
      </c>
      <c r="C52" s="5">
        <f>2250</f>
        <v>2250</v>
      </c>
      <c r="D52" s="5">
        <f t="shared" si="6"/>
        <v>-874.96</v>
      </c>
      <c r="E52" s="87">
        <f t="shared" si="7"/>
        <v>0.61112888888888883</v>
      </c>
    </row>
    <row r="53" spans="1:12" x14ac:dyDescent="0.25">
      <c r="A53" s="126" t="s">
        <v>84</v>
      </c>
      <c r="B53" s="5">
        <f>86</f>
        <v>86</v>
      </c>
      <c r="C53" s="5">
        <f>150</f>
        <v>150</v>
      </c>
      <c r="D53" s="5">
        <f t="shared" si="6"/>
        <v>-64</v>
      </c>
      <c r="E53" s="87">
        <f t="shared" si="7"/>
        <v>0.57333333333333336</v>
      </c>
    </row>
    <row r="54" spans="1:12" x14ac:dyDescent="0.25">
      <c r="A54" s="126" t="s">
        <v>83</v>
      </c>
      <c r="B54" s="5">
        <f>1701.69</f>
        <v>1701.69</v>
      </c>
      <c r="C54" s="5">
        <f>900</f>
        <v>900</v>
      </c>
      <c r="D54" s="5">
        <f t="shared" si="6"/>
        <v>801.69</v>
      </c>
      <c r="E54" s="87">
        <f t="shared" si="7"/>
        <v>1.8907666666666667</v>
      </c>
    </row>
    <row r="55" spans="1:12" x14ac:dyDescent="0.25">
      <c r="A55" s="126" t="s">
        <v>82</v>
      </c>
      <c r="B55" s="4">
        <f>((((((B48)+(B49))+(B50))+(B51))+(B52))+(B53))+(B54)</f>
        <v>5791.58</v>
      </c>
      <c r="C55" s="4">
        <f>((((((C48)+(C49))+(C50))+(C51))+(C52))+(C53))+(C54)</f>
        <v>5174.97</v>
      </c>
      <c r="D55" s="4">
        <f t="shared" si="6"/>
        <v>616.60999999999967</v>
      </c>
      <c r="E55" s="88">
        <f t="shared" si="7"/>
        <v>1.1191523815596998</v>
      </c>
      <c r="H55" s="76">
        <f>+D55</f>
        <v>616.60999999999967</v>
      </c>
      <c r="I55" t="s">
        <v>201</v>
      </c>
    </row>
    <row r="56" spans="1:12" x14ac:dyDescent="0.25">
      <c r="A56" s="126" t="s">
        <v>81</v>
      </c>
      <c r="B56" s="5">
        <f>142.12</f>
        <v>142.12</v>
      </c>
      <c r="C56" s="2"/>
      <c r="D56" s="5">
        <f t="shared" si="6"/>
        <v>142.12</v>
      </c>
      <c r="E56" s="87" t="str">
        <f t="shared" si="7"/>
        <v/>
      </c>
    </row>
    <row r="57" spans="1:12" x14ac:dyDescent="0.25">
      <c r="A57" s="126" t="s">
        <v>190</v>
      </c>
      <c r="B57" s="5">
        <f>437.5</f>
        <v>437.5</v>
      </c>
      <c r="C57" s="5">
        <f>187.47</f>
        <v>187.47</v>
      </c>
      <c r="D57" s="5">
        <f t="shared" si="6"/>
        <v>250.03</v>
      </c>
      <c r="E57" s="87">
        <f t="shared" si="7"/>
        <v>2.333706726409559</v>
      </c>
    </row>
    <row r="58" spans="1:12" x14ac:dyDescent="0.25">
      <c r="A58" s="126" t="s">
        <v>80</v>
      </c>
      <c r="B58" s="5">
        <f>2719.55</f>
        <v>2719.55</v>
      </c>
      <c r="C58" s="5">
        <f>375.03</f>
        <v>375.03</v>
      </c>
      <c r="D58" s="5">
        <f t="shared" si="6"/>
        <v>2344.5200000000004</v>
      </c>
      <c r="E58" s="87">
        <f t="shared" si="7"/>
        <v>7.2515532090766079</v>
      </c>
    </row>
    <row r="59" spans="1:12" x14ac:dyDescent="0.25">
      <c r="A59" s="126" t="s">
        <v>79</v>
      </c>
      <c r="B59" s="2"/>
      <c r="C59" s="5">
        <f>150.03</f>
        <v>150.03</v>
      </c>
      <c r="D59" s="5">
        <f t="shared" si="6"/>
        <v>-150.03</v>
      </c>
      <c r="E59" s="87">
        <f t="shared" si="7"/>
        <v>0</v>
      </c>
    </row>
    <row r="60" spans="1:12" x14ac:dyDescent="0.25">
      <c r="A60" s="126" t="s">
        <v>78</v>
      </c>
      <c r="B60" s="2"/>
      <c r="C60" s="5">
        <f>112.5</f>
        <v>112.5</v>
      </c>
      <c r="D60" s="5">
        <f t="shared" si="6"/>
        <v>-112.5</v>
      </c>
      <c r="E60" s="87">
        <f t="shared" si="7"/>
        <v>0</v>
      </c>
    </row>
    <row r="61" spans="1:12" x14ac:dyDescent="0.25">
      <c r="A61" s="126" t="s">
        <v>77</v>
      </c>
      <c r="B61" s="4">
        <f>((((B56)+(B57))+(B58))+(B59))+(B60)</f>
        <v>3299.17</v>
      </c>
      <c r="C61" s="4">
        <f>((((C56)+(C57))+(C58))+(C59))+(C60)</f>
        <v>825.03</v>
      </c>
      <c r="D61" s="4">
        <f t="shared" si="6"/>
        <v>2474.1400000000003</v>
      </c>
      <c r="E61" s="88">
        <f t="shared" si="7"/>
        <v>3.9988485267202405</v>
      </c>
    </row>
    <row r="62" spans="1:12" x14ac:dyDescent="0.25">
      <c r="A62" s="126" t="s">
        <v>191</v>
      </c>
      <c r="B62" s="5">
        <f>7550</f>
        <v>7550</v>
      </c>
      <c r="C62" s="2"/>
      <c r="D62" s="5">
        <f t="shared" si="6"/>
        <v>7550</v>
      </c>
      <c r="E62" s="87" t="str">
        <f t="shared" si="7"/>
        <v/>
      </c>
      <c r="H62" s="76">
        <f>+D62</f>
        <v>7550</v>
      </c>
      <c r="I62" t="s">
        <v>202</v>
      </c>
      <c r="L62" s="77"/>
    </row>
    <row r="63" spans="1:12" x14ac:dyDescent="0.25">
      <c r="A63" s="126" t="s">
        <v>76</v>
      </c>
      <c r="B63" s="4">
        <f>(((((((((((((((((B21)+(B22))+(B23))+(B24))+(B25))+(B26))+(B27))+(B28))+(B29))+(B30))+(B31))+(B32))+(B38))+(B43))+(B47))+(B55))+(B61))+(B62)</f>
        <v>204659.90000000002</v>
      </c>
      <c r="C63" s="4">
        <f>(((((((((((((((((C21)+(C22))+(C23))+(C24))+(C25))+(C26))+(C27))+(C28))+(C29))+(C30))+(C31))+(C32))+(C38))+(C43))+(C47))+(C55))+(C61))+(C62)</f>
        <v>213374.97</v>
      </c>
      <c r="D63" s="4">
        <f t="shared" si="6"/>
        <v>-8715.0699999999779</v>
      </c>
      <c r="E63" s="88">
        <f t="shared" si="7"/>
        <v>0.95915608095926164</v>
      </c>
      <c r="H63" s="78">
        <f>+D63</f>
        <v>-8715.0699999999779</v>
      </c>
      <c r="L63" s="75"/>
    </row>
    <row r="64" spans="1:12" x14ac:dyDescent="0.25">
      <c r="A64" s="126" t="s">
        <v>75</v>
      </c>
      <c r="B64" s="4">
        <f>(B19)-(B63)</f>
        <v>-8765.2600000000093</v>
      </c>
      <c r="C64" s="4">
        <f>(C19)-(C63)</f>
        <v>-40999.94</v>
      </c>
      <c r="D64" s="4">
        <f t="shared" si="6"/>
        <v>32234.679999999993</v>
      </c>
      <c r="E64" s="88">
        <f t="shared" si="7"/>
        <v>0.21378714212752528</v>
      </c>
    </row>
    <row r="65" spans="1:10" x14ac:dyDescent="0.25">
      <c r="A65" s="126" t="s">
        <v>74</v>
      </c>
      <c r="B65" s="2"/>
      <c r="C65" s="2"/>
      <c r="D65" s="2"/>
      <c r="E65" s="2"/>
      <c r="H65" s="80"/>
      <c r="I65" s="77"/>
      <c r="J65" s="77"/>
    </row>
    <row r="66" spans="1:10" x14ac:dyDescent="0.25">
      <c r="A66" s="126" t="s">
        <v>73</v>
      </c>
      <c r="B66" s="5">
        <f>1632429.81</f>
        <v>1632429.81</v>
      </c>
      <c r="C66" s="2"/>
      <c r="D66" s="5">
        <f t="shared" ref="D66:D73" si="8">(B66)-(C66)</f>
        <v>1632429.81</v>
      </c>
      <c r="E66" s="87" t="str">
        <f t="shared" ref="E66:E73" si="9">IF(C66=0,"",(B66)/(C66))</f>
        <v/>
      </c>
      <c r="G66" s="85" t="s">
        <v>223</v>
      </c>
      <c r="H66" s="76">
        <f>+H20</f>
        <v>23519.610000000015</v>
      </c>
      <c r="I66" s="77"/>
      <c r="J66" s="77"/>
    </row>
    <row r="67" spans="1:10" x14ac:dyDescent="0.25">
      <c r="A67" s="126" t="s">
        <v>72</v>
      </c>
      <c r="B67" s="2"/>
      <c r="C67" s="2"/>
      <c r="D67" s="5">
        <f t="shared" si="8"/>
        <v>0</v>
      </c>
      <c r="E67" s="87" t="str">
        <f t="shared" si="9"/>
        <v/>
      </c>
      <c r="G67" s="85" t="s">
        <v>224</v>
      </c>
      <c r="H67" s="77">
        <f>-H63</f>
        <v>8715.0699999999779</v>
      </c>
      <c r="I67" s="77"/>
      <c r="J67" s="77"/>
    </row>
    <row r="68" spans="1:10" ht="15.75" thickBot="1" x14ac:dyDescent="0.3">
      <c r="A68" s="126" t="s">
        <v>71</v>
      </c>
      <c r="B68" s="5">
        <f>227121.8</f>
        <v>227121.8</v>
      </c>
      <c r="C68" s="2"/>
      <c r="D68" s="5">
        <f t="shared" si="8"/>
        <v>227121.8</v>
      </c>
      <c r="E68" s="87" t="str">
        <f t="shared" si="9"/>
        <v/>
      </c>
      <c r="H68" s="84">
        <f>+H66+H67</f>
        <v>32234.679999999993</v>
      </c>
      <c r="I68" s="77"/>
      <c r="J68" s="77"/>
    </row>
    <row r="69" spans="1:10" ht="15.75" thickTop="1" x14ac:dyDescent="0.25">
      <c r="A69" s="126" t="s">
        <v>180</v>
      </c>
      <c r="B69" s="5">
        <f>0</f>
        <v>0</v>
      </c>
      <c r="C69" s="2"/>
      <c r="D69" s="5">
        <f t="shared" si="8"/>
        <v>0</v>
      </c>
      <c r="E69" s="87" t="str">
        <f t="shared" si="9"/>
        <v/>
      </c>
      <c r="H69" s="80"/>
      <c r="I69" s="77"/>
      <c r="J69" s="77"/>
    </row>
    <row r="70" spans="1:10" x14ac:dyDescent="0.25">
      <c r="A70" s="126" t="s">
        <v>70</v>
      </c>
      <c r="B70" s="5">
        <f>941167.18</f>
        <v>941167.18</v>
      </c>
      <c r="C70" s="2"/>
      <c r="D70" s="5">
        <f t="shared" si="8"/>
        <v>941167.18</v>
      </c>
      <c r="E70" s="87" t="str">
        <f t="shared" si="9"/>
        <v/>
      </c>
      <c r="H70" s="80">
        <f>+H68-D65</f>
        <v>32234.679999999993</v>
      </c>
      <c r="I70" s="77"/>
      <c r="J70" s="77"/>
    </row>
    <row r="71" spans="1:10" x14ac:dyDescent="0.25">
      <c r="A71" s="126" t="s">
        <v>69</v>
      </c>
      <c r="B71" s="5">
        <f>-77027.69</f>
        <v>-77027.69</v>
      </c>
      <c r="C71" s="2"/>
      <c r="D71" s="5">
        <f t="shared" si="8"/>
        <v>-77027.69</v>
      </c>
      <c r="E71" s="87" t="str">
        <f t="shared" si="9"/>
        <v/>
      </c>
      <c r="H71" s="80"/>
      <c r="I71" s="77"/>
      <c r="J71" s="77"/>
    </row>
    <row r="72" spans="1:10" x14ac:dyDescent="0.25">
      <c r="A72" s="126" t="s">
        <v>68</v>
      </c>
      <c r="B72" s="4">
        <f>((((B67)+(B68))+(B69))+(B70))+(B71)</f>
        <v>1091261.29</v>
      </c>
      <c r="C72" s="4">
        <f>((((C67)+(C68))+(C69))+(C70))+(C71)</f>
        <v>0</v>
      </c>
      <c r="D72" s="4">
        <f t="shared" si="8"/>
        <v>1091261.29</v>
      </c>
      <c r="E72" s="88" t="str">
        <f t="shared" si="9"/>
        <v/>
      </c>
      <c r="H72" s="80"/>
      <c r="I72" s="77"/>
      <c r="J72" s="77"/>
    </row>
    <row r="73" spans="1:10" x14ac:dyDescent="0.25">
      <c r="A73" s="126" t="s">
        <v>67</v>
      </c>
      <c r="B73" s="4">
        <f>(B66)+(B72)</f>
        <v>2723691.1</v>
      </c>
      <c r="C73" s="4">
        <f>(C66)+(C72)</f>
        <v>0</v>
      </c>
      <c r="D73" s="4">
        <f t="shared" si="8"/>
        <v>2723691.1</v>
      </c>
      <c r="E73" s="88" t="str">
        <f t="shared" si="9"/>
        <v/>
      </c>
      <c r="H73" s="80"/>
      <c r="I73" s="77"/>
      <c r="J73" s="77"/>
    </row>
    <row r="74" spans="1:10" x14ac:dyDescent="0.25">
      <c r="A74" s="126" t="s">
        <v>66</v>
      </c>
      <c r="B74" s="2"/>
      <c r="C74" s="2"/>
      <c r="D74" s="2"/>
      <c r="E74" s="2"/>
      <c r="H74" s="80"/>
      <c r="I74" s="77"/>
      <c r="J74" s="77"/>
    </row>
    <row r="75" spans="1:10" x14ac:dyDescent="0.25">
      <c r="A75" s="126" t="s">
        <v>65</v>
      </c>
      <c r="B75" s="5">
        <f>1419922.67</f>
        <v>1419922.67</v>
      </c>
      <c r="C75" s="2"/>
      <c r="D75" s="5">
        <f>(B75)-(C75)</f>
        <v>1419922.67</v>
      </c>
      <c r="E75" s="87" t="str">
        <f>IF(C75=0,"",(B75)/(C75))</f>
        <v/>
      </c>
      <c r="H75" s="80"/>
      <c r="I75" s="77"/>
      <c r="J75" s="77"/>
    </row>
    <row r="76" spans="1:10" x14ac:dyDescent="0.25">
      <c r="A76" s="126" t="s">
        <v>64</v>
      </c>
      <c r="B76" s="4">
        <f>B75</f>
        <v>1419922.67</v>
      </c>
      <c r="C76" s="4">
        <f>C75</f>
        <v>0</v>
      </c>
      <c r="D76" s="4">
        <f>(B76)-(C76)</f>
        <v>1419922.67</v>
      </c>
      <c r="E76" s="88" t="str">
        <f>IF(C76=0,"",(B76)/(C76))</f>
        <v/>
      </c>
    </row>
    <row r="77" spans="1:10" x14ac:dyDescent="0.25">
      <c r="A77" s="126" t="s">
        <v>63</v>
      </c>
      <c r="B77" s="4">
        <f>(B73)-(B76)</f>
        <v>1303768.4300000002</v>
      </c>
      <c r="C77" s="4">
        <f>(C73)-(C76)</f>
        <v>0</v>
      </c>
      <c r="D77" s="4">
        <f>(B77)-(C77)</f>
        <v>1303768.4300000002</v>
      </c>
      <c r="E77" s="88" t="str">
        <f>IF(C77=0,"",(B77)/(C77))</f>
        <v/>
      </c>
      <c r="F77" s="77"/>
    </row>
    <row r="78" spans="1:10" x14ac:dyDescent="0.25">
      <c r="A78" s="3" t="s">
        <v>62</v>
      </c>
      <c r="B78" s="4">
        <f>(B64)+(B77)</f>
        <v>1295003.1700000002</v>
      </c>
      <c r="C78" s="4">
        <f>(C64)+(C77)</f>
        <v>-40999.94</v>
      </c>
      <c r="D78" s="4">
        <f>(B78)-(C78)</f>
        <v>1336003.1100000001</v>
      </c>
      <c r="E78" s="88">
        <f>IF(C78=0,"",(B78)/(C78))</f>
        <v>-31.585489393399115</v>
      </c>
    </row>
    <row r="79" spans="1:10" x14ac:dyDescent="0.25">
      <c r="A79" s="3"/>
      <c r="B79" s="90"/>
      <c r="C79" s="90"/>
      <c r="D79" s="90"/>
      <c r="E79" s="2"/>
      <c r="H79" s="77"/>
    </row>
    <row r="80" spans="1:10" x14ac:dyDescent="0.25">
      <c r="A80" s="93" t="s">
        <v>61</v>
      </c>
      <c r="B80" s="93"/>
      <c r="C80" s="93"/>
      <c r="D80" s="93"/>
      <c r="E80" s="93"/>
    </row>
    <row r="81" spans="1:5" x14ac:dyDescent="0.25">
      <c r="B81" s="80"/>
      <c r="C81" s="80"/>
      <c r="D81" s="80"/>
    </row>
    <row r="82" spans="1:5" x14ac:dyDescent="0.25">
      <c r="A82" s="118" t="s">
        <v>238</v>
      </c>
      <c r="B82" s="115"/>
      <c r="C82" s="115"/>
      <c r="D82" s="115"/>
      <c r="E82" s="115"/>
    </row>
    <row r="83" spans="1:5" x14ac:dyDescent="0.25">
      <c r="B83" s="80"/>
      <c r="C83" s="80"/>
      <c r="D83" s="80"/>
    </row>
  </sheetData>
  <mergeCells count="7">
    <mergeCell ref="A82:E82"/>
    <mergeCell ref="K9:N9"/>
    <mergeCell ref="K8:N8"/>
    <mergeCell ref="A1:E1"/>
    <mergeCell ref="A2:E2"/>
    <mergeCell ref="A3:E3"/>
    <mergeCell ref="B8:E8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72"/>
  <sheetViews>
    <sheetView workbookViewId="0">
      <selection activeCell="A4" sqref="A4"/>
    </sheetView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10.42578125" bestFit="1" customWidth="1"/>
    <col min="12" max="12" width="11.7109375" bestFit="1" customWidth="1"/>
  </cols>
  <sheetData>
    <row r="1" spans="1:12" ht="18" x14ac:dyDescent="0.25">
      <c r="A1" s="95" t="s">
        <v>59</v>
      </c>
    </row>
    <row r="2" spans="1:12" ht="18" x14ac:dyDescent="0.25">
      <c r="A2" s="95" t="s">
        <v>217</v>
      </c>
    </row>
    <row r="3" spans="1:12" x14ac:dyDescent="0.25">
      <c r="A3" s="116" t="s">
        <v>249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25"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48.75" customHeight="1" x14ac:dyDescent="0.25">
      <c r="A5" s="1"/>
      <c r="B5" s="83" t="s">
        <v>218</v>
      </c>
      <c r="C5" s="94" t="s">
        <v>192</v>
      </c>
      <c r="D5" s="94" t="s">
        <v>193</v>
      </c>
      <c r="E5" s="94" t="s">
        <v>194</v>
      </c>
      <c r="F5" s="94" t="s">
        <v>195</v>
      </c>
      <c r="G5" s="94" t="s">
        <v>196</v>
      </c>
      <c r="H5" s="94" t="s">
        <v>197</v>
      </c>
      <c r="I5" s="94" t="s">
        <v>198</v>
      </c>
      <c r="J5" s="94" t="s">
        <v>199</v>
      </c>
      <c r="K5" s="94" t="s">
        <v>207</v>
      </c>
      <c r="L5" s="94" t="s">
        <v>126</v>
      </c>
    </row>
    <row r="6" spans="1:12" x14ac:dyDescent="0.25">
      <c r="A6" s="3" t="s">
        <v>121</v>
      </c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5" customHeight="1" x14ac:dyDescent="0.25">
      <c r="A7" s="3" t="s">
        <v>120</v>
      </c>
      <c r="B7" s="2"/>
      <c r="C7" s="90"/>
      <c r="D7" s="90"/>
      <c r="E7" s="90"/>
      <c r="F7" s="90"/>
      <c r="G7" s="90"/>
      <c r="H7" s="90"/>
      <c r="I7" s="90"/>
      <c r="J7" s="90"/>
      <c r="K7" s="91">
        <f t="shared" ref="K7:K16" si="0">(((G7)+(H7))+(I7))+(J7)</f>
        <v>0</v>
      </c>
      <c r="L7" s="91">
        <f t="shared" ref="L7:L16" si="1">(((((B7)+(C7))+(D7))+(E7))+(F7))+(K7)</f>
        <v>0</v>
      </c>
    </row>
    <row r="8" spans="1:12" ht="15" customHeight="1" x14ac:dyDescent="0.25">
      <c r="A8" s="3" t="s">
        <v>119</v>
      </c>
      <c r="B8" s="2"/>
      <c r="C8" s="2"/>
      <c r="D8" s="2"/>
      <c r="E8" s="2"/>
      <c r="F8" s="2"/>
      <c r="G8" s="5">
        <f>33361.51</f>
        <v>33361.51</v>
      </c>
      <c r="H8" s="2"/>
      <c r="I8" s="2"/>
      <c r="J8" s="2"/>
      <c r="K8" s="5">
        <f t="shared" si="0"/>
        <v>33361.51</v>
      </c>
      <c r="L8" s="5">
        <f t="shared" si="1"/>
        <v>33361.51</v>
      </c>
    </row>
    <row r="9" spans="1:12" ht="15" customHeight="1" x14ac:dyDescent="0.25">
      <c r="A9" s="3" t="s">
        <v>118</v>
      </c>
      <c r="B9" s="2"/>
      <c r="C9" s="2"/>
      <c r="D9" s="2"/>
      <c r="E9" s="2"/>
      <c r="F9" s="2"/>
      <c r="G9" s="2"/>
      <c r="H9" s="2"/>
      <c r="I9" s="2"/>
      <c r="J9" s="2"/>
      <c r="K9" s="5">
        <f t="shared" si="0"/>
        <v>0</v>
      </c>
      <c r="L9" s="5">
        <f t="shared" si="1"/>
        <v>0</v>
      </c>
    </row>
    <row r="10" spans="1:12" ht="15" customHeight="1" x14ac:dyDescent="0.25">
      <c r="A10" s="3" t="s">
        <v>117</v>
      </c>
      <c r="B10" s="2"/>
      <c r="C10" s="2"/>
      <c r="D10" s="2"/>
      <c r="E10" s="2"/>
      <c r="F10" s="2"/>
      <c r="G10" s="5">
        <f>112933.62</f>
        <v>112933.62</v>
      </c>
      <c r="H10" s="2"/>
      <c r="I10" s="2"/>
      <c r="J10" s="2"/>
      <c r="K10" s="5">
        <f t="shared" si="0"/>
        <v>112933.62</v>
      </c>
      <c r="L10" s="5">
        <f t="shared" si="1"/>
        <v>112933.62</v>
      </c>
    </row>
    <row r="11" spans="1:12" ht="15" customHeight="1" x14ac:dyDescent="0.25">
      <c r="A11" s="3" t="s">
        <v>187</v>
      </c>
      <c r="B11" s="4">
        <f t="shared" ref="B11:J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4">
        <f t="shared" si="2"/>
        <v>112933.62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0"/>
        <v>112933.62</v>
      </c>
      <c r="L11" s="4">
        <f t="shared" si="1"/>
        <v>112933.62</v>
      </c>
    </row>
    <row r="12" spans="1:12" ht="15" customHeight="1" x14ac:dyDescent="0.25">
      <c r="A12" s="3" t="s">
        <v>188</v>
      </c>
      <c r="B12" s="2"/>
      <c r="C12" s="5">
        <f>33333.36</f>
        <v>33333.360000000001</v>
      </c>
      <c r="D12" s="2"/>
      <c r="E12" s="2"/>
      <c r="F12" s="2"/>
      <c r="G12" s="2"/>
      <c r="H12" s="2"/>
      <c r="I12" s="2"/>
      <c r="J12" s="2"/>
      <c r="K12" s="5">
        <f t="shared" si="0"/>
        <v>0</v>
      </c>
      <c r="L12" s="5">
        <f t="shared" si="1"/>
        <v>33333.360000000001</v>
      </c>
    </row>
    <row r="13" spans="1:12" ht="15" customHeight="1" x14ac:dyDescent="0.25">
      <c r="A13" s="3" t="s">
        <v>116</v>
      </c>
      <c r="B13" s="4">
        <f t="shared" ref="B13:J13" si="3">(((B7)+(B8))+(B11))+(B12)</f>
        <v>0</v>
      </c>
      <c r="C13" s="4">
        <f t="shared" si="3"/>
        <v>33333.360000000001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146295.13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0"/>
        <v>146295.13</v>
      </c>
      <c r="L13" s="4">
        <f t="shared" si="1"/>
        <v>179628.49</v>
      </c>
    </row>
    <row r="14" spans="1:12" ht="15" customHeight="1" x14ac:dyDescent="0.25">
      <c r="A14" s="3" t="s">
        <v>115</v>
      </c>
      <c r="B14" s="2"/>
      <c r="C14" s="2"/>
      <c r="D14" s="2"/>
      <c r="E14" s="2"/>
      <c r="F14" s="2"/>
      <c r="G14" s="5">
        <f>873.83</f>
        <v>873.83</v>
      </c>
      <c r="H14" s="2"/>
      <c r="I14" s="2"/>
      <c r="J14" s="2"/>
      <c r="K14" s="5">
        <f t="shared" si="0"/>
        <v>873.83</v>
      </c>
      <c r="L14" s="5">
        <f t="shared" si="1"/>
        <v>873.83</v>
      </c>
    </row>
    <row r="15" spans="1:12" ht="15" customHeight="1" x14ac:dyDescent="0.25">
      <c r="A15" s="3" t="s">
        <v>114</v>
      </c>
      <c r="B15" s="4">
        <f t="shared" ref="B15:J15" si="4">(B13)+(B14)</f>
        <v>0</v>
      </c>
      <c r="C15" s="4">
        <f t="shared" si="4"/>
        <v>33333.360000000001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147168.95999999999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0"/>
        <v>147168.95999999999</v>
      </c>
      <c r="L15" s="4">
        <f t="shared" si="1"/>
        <v>180502.32</v>
      </c>
    </row>
    <row r="16" spans="1:12" ht="15" customHeight="1" x14ac:dyDescent="0.25">
      <c r="A16" s="3" t="s">
        <v>113</v>
      </c>
      <c r="B16" s="4">
        <f t="shared" ref="B16:J16" si="5">(B15)-(0)</f>
        <v>0</v>
      </c>
      <c r="C16" s="4">
        <f t="shared" si="5"/>
        <v>33333.360000000001</v>
      </c>
      <c r="D16" s="4">
        <f t="shared" si="5"/>
        <v>0</v>
      </c>
      <c r="E16" s="4">
        <f t="shared" si="5"/>
        <v>0</v>
      </c>
      <c r="F16" s="4">
        <f t="shared" si="5"/>
        <v>0</v>
      </c>
      <c r="G16" s="4">
        <f t="shared" si="5"/>
        <v>147168.95999999999</v>
      </c>
      <c r="H16" s="4">
        <f t="shared" si="5"/>
        <v>0</v>
      </c>
      <c r="I16" s="4">
        <f t="shared" si="5"/>
        <v>0</v>
      </c>
      <c r="J16" s="4">
        <f t="shared" si="5"/>
        <v>0</v>
      </c>
      <c r="K16" s="4">
        <f t="shared" si="0"/>
        <v>147168.95999999999</v>
      </c>
      <c r="L16" s="4">
        <f t="shared" si="1"/>
        <v>180502.32</v>
      </c>
    </row>
    <row r="17" spans="1:12" ht="15" customHeight="1" x14ac:dyDescent="0.25">
      <c r="A17" s="3" t="s">
        <v>112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" customHeight="1" x14ac:dyDescent="0.25">
      <c r="A18" s="3" t="s">
        <v>182</v>
      </c>
      <c r="B18" s="2"/>
      <c r="C18" s="5">
        <f>1600.48</f>
        <v>1600.48</v>
      </c>
      <c r="D18" s="2"/>
      <c r="E18" s="2"/>
      <c r="F18" s="2"/>
      <c r="G18" s="2"/>
      <c r="H18" s="2"/>
      <c r="I18" s="2"/>
      <c r="J18" s="2"/>
      <c r="K18" s="5">
        <f t="shared" ref="K18:K54" si="6">(((G18)+(H18))+(I18))+(J18)</f>
        <v>0</v>
      </c>
      <c r="L18" s="5">
        <f t="shared" ref="L18:L54" si="7">(((((B18)+(C18))+(D18))+(E18))+(F18))+(K18)</f>
        <v>1600.48</v>
      </c>
    </row>
    <row r="19" spans="1:12" ht="15" customHeight="1" x14ac:dyDescent="0.25">
      <c r="A19" s="3" t="s">
        <v>111</v>
      </c>
      <c r="B19" s="2"/>
      <c r="C19" s="2"/>
      <c r="D19" s="2"/>
      <c r="E19" s="2"/>
      <c r="F19" s="5">
        <f>182.25</f>
        <v>182.25</v>
      </c>
      <c r="G19" s="2"/>
      <c r="H19" s="5">
        <f>79.97</f>
        <v>79.97</v>
      </c>
      <c r="I19" s="5">
        <f>802.53</f>
        <v>802.53</v>
      </c>
      <c r="J19" s="2"/>
      <c r="K19" s="5">
        <f t="shared" si="6"/>
        <v>882.5</v>
      </c>
      <c r="L19" s="5">
        <f t="shared" si="7"/>
        <v>1064.75</v>
      </c>
    </row>
    <row r="20" spans="1:12" ht="15" customHeight="1" x14ac:dyDescent="0.25">
      <c r="A20" s="3" t="s">
        <v>110</v>
      </c>
      <c r="B20" s="2"/>
      <c r="C20" s="2"/>
      <c r="D20" s="2"/>
      <c r="E20" s="2"/>
      <c r="F20" s="2"/>
      <c r="G20" s="2"/>
      <c r="H20" s="2"/>
      <c r="I20" s="5">
        <f>800</f>
        <v>800</v>
      </c>
      <c r="J20" s="2"/>
      <c r="K20" s="5">
        <f t="shared" si="6"/>
        <v>800</v>
      </c>
      <c r="L20" s="5">
        <f t="shared" si="7"/>
        <v>800</v>
      </c>
    </row>
    <row r="21" spans="1:12" ht="15" customHeight="1" x14ac:dyDescent="0.25">
      <c r="A21" s="3" t="s">
        <v>227</v>
      </c>
      <c r="B21" s="2"/>
      <c r="C21" s="2"/>
      <c r="D21" s="2"/>
      <c r="E21" s="2"/>
      <c r="F21" s="2"/>
      <c r="G21" s="2"/>
      <c r="H21" s="2"/>
      <c r="I21" s="5">
        <f>847.14</f>
        <v>847.14</v>
      </c>
      <c r="J21" s="2"/>
      <c r="K21" s="5">
        <f t="shared" si="6"/>
        <v>847.14</v>
      </c>
      <c r="L21" s="5">
        <f t="shared" si="7"/>
        <v>847.14</v>
      </c>
    </row>
    <row r="22" spans="1:12" ht="15" customHeight="1" x14ac:dyDescent="0.25">
      <c r="A22" s="3" t="s">
        <v>108</v>
      </c>
      <c r="B22" s="2"/>
      <c r="C22" s="5">
        <f>313.93</f>
        <v>313.93</v>
      </c>
      <c r="D22" s="2"/>
      <c r="E22" s="2"/>
      <c r="F22" s="2"/>
      <c r="G22" s="2"/>
      <c r="H22" s="2"/>
      <c r="I22" s="2"/>
      <c r="J22" s="2"/>
      <c r="K22" s="5">
        <f t="shared" si="6"/>
        <v>0</v>
      </c>
      <c r="L22" s="5">
        <f t="shared" si="7"/>
        <v>313.93</v>
      </c>
    </row>
    <row r="23" spans="1:12" ht="15" customHeight="1" x14ac:dyDescent="0.25">
      <c r="A23" s="3" t="s">
        <v>209</v>
      </c>
      <c r="B23" s="2"/>
      <c r="C23" s="5">
        <f>2400</f>
        <v>2400</v>
      </c>
      <c r="D23" s="2"/>
      <c r="E23" s="2"/>
      <c r="F23" s="2"/>
      <c r="G23" s="2"/>
      <c r="H23" s="2"/>
      <c r="I23" s="2"/>
      <c r="J23" s="5">
        <f>13600</f>
        <v>13600</v>
      </c>
      <c r="K23" s="5">
        <f t="shared" si="6"/>
        <v>13600</v>
      </c>
      <c r="L23" s="5">
        <f t="shared" si="7"/>
        <v>16000</v>
      </c>
    </row>
    <row r="24" spans="1:12" ht="15" customHeight="1" x14ac:dyDescent="0.25">
      <c r="A24" s="3" t="s">
        <v>106</v>
      </c>
      <c r="B24" s="2"/>
      <c r="C24" s="5">
        <f>800</f>
        <v>800</v>
      </c>
      <c r="D24" s="2"/>
      <c r="E24" s="2"/>
      <c r="F24" s="2"/>
      <c r="G24" s="2"/>
      <c r="H24" s="2"/>
      <c r="I24" s="2"/>
      <c r="J24" s="2"/>
      <c r="K24" s="5">
        <f t="shared" si="6"/>
        <v>0</v>
      </c>
      <c r="L24" s="5">
        <f t="shared" si="7"/>
        <v>800</v>
      </c>
    </row>
    <row r="25" spans="1:12" ht="15" customHeight="1" x14ac:dyDescent="0.25">
      <c r="A25" s="3" t="s">
        <v>104</v>
      </c>
      <c r="B25" s="2"/>
      <c r="C25" s="2"/>
      <c r="D25" s="2"/>
      <c r="E25" s="2"/>
      <c r="F25" s="2"/>
      <c r="G25" s="2"/>
      <c r="H25" s="2"/>
      <c r="I25" s="2"/>
      <c r="J25" s="2"/>
      <c r="K25" s="5">
        <f t="shared" si="6"/>
        <v>0</v>
      </c>
      <c r="L25" s="5">
        <f t="shared" si="7"/>
        <v>0</v>
      </c>
    </row>
    <row r="26" spans="1:12" ht="15" customHeight="1" x14ac:dyDescent="0.25">
      <c r="A26" s="3" t="s">
        <v>103</v>
      </c>
      <c r="B26" s="2"/>
      <c r="C26" s="5">
        <f>4302.88</f>
        <v>4302.88</v>
      </c>
      <c r="D26" s="2"/>
      <c r="E26" s="2"/>
      <c r="F26" s="2"/>
      <c r="G26" s="2"/>
      <c r="H26" s="2"/>
      <c r="I26" s="2"/>
      <c r="J26" s="2"/>
      <c r="K26" s="5">
        <f t="shared" si="6"/>
        <v>0</v>
      </c>
      <c r="L26" s="5">
        <f t="shared" si="7"/>
        <v>4302.88</v>
      </c>
    </row>
    <row r="27" spans="1:12" ht="15" customHeight="1" x14ac:dyDescent="0.25">
      <c r="A27" s="3" t="s">
        <v>102</v>
      </c>
      <c r="B27" s="2"/>
      <c r="C27" s="5">
        <f>50019</f>
        <v>50019</v>
      </c>
      <c r="D27" s="2"/>
      <c r="E27" s="2"/>
      <c r="F27" s="2"/>
      <c r="G27" s="2"/>
      <c r="H27" s="2"/>
      <c r="I27" s="5">
        <f>38543.4</f>
        <v>38543.4</v>
      </c>
      <c r="J27" s="2"/>
      <c r="K27" s="5">
        <f t="shared" si="6"/>
        <v>38543.4</v>
      </c>
      <c r="L27" s="5">
        <f t="shared" si="7"/>
        <v>88562.4</v>
      </c>
    </row>
    <row r="28" spans="1:12" ht="15" customHeight="1" x14ac:dyDescent="0.25">
      <c r="A28" s="3" t="s">
        <v>101</v>
      </c>
      <c r="B28" s="2"/>
      <c r="C28" s="2"/>
      <c r="D28" s="2"/>
      <c r="E28" s="2"/>
      <c r="F28" s="2"/>
      <c r="G28" s="2"/>
      <c r="H28" s="2"/>
      <c r="I28" s="5">
        <f>568.88</f>
        <v>568.88</v>
      </c>
      <c r="J28" s="2"/>
      <c r="K28" s="5">
        <f t="shared" si="6"/>
        <v>568.88</v>
      </c>
      <c r="L28" s="5">
        <f t="shared" si="7"/>
        <v>568.88</v>
      </c>
    </row>
    <row r="29" spans="1:12" ht="15" customHeight="1" x14ac:dyDescent="0.25">
      <c r="A29" s="3" t="s">
        <v>100</v>
      </c>
      <c r="B29" s="2"/>
      <c r="C29" s="5">
        <f>4938.56</f>
        <v>4938.5600000000004</v>
      </c>
      <c r="D29" s="2"/>
      <c r="E29" s="2"/>
      <c r="F29" s="2"/>
      <c r="G29" s="2"/>
      <c r="H29" s="2"/>
      <c r="I29" s="5">
        <f>4300.92</f>
        <v>4300.92</v>
      </c>
      <c r="J29" s="2"/>
      <c r="K29" s="5">
        <f t="shared" si="6"/>
        <v>4300.92</v>
      </c>
      <c r="L29" s="5">
        <f t="shared" si="7"/>
        <v>9239.48</v>
      </c>
    </row>
    <row r="30" spans="1:12" ht="15" customHeight="1" x14ac:dyDescent="0.25">
      <c r="A30" s="3" t="s">
        <v>99</v>
      </c>
      <c r="B30" s="4">
        <f t="shared" ref="B30:J30" si="8">((((B25)+(B26))+(B27))+(B28))+(B29)</f>
        <v>0</v>
      </c>
      <c r="C30" s="4">
        <f t="shared" si="8"/>
        <v>59260.439999999995</v>
      </c>
      <c r="D30" s="4">
        <f t="shared" si="8"/>
        <v>0</v>
      </c>
      <c r="E30" s="4">
        <f t="shared" si="8"/>
        <v>0</v>
      </c>
      <c r="F30" s="4">
        <f t="shared" si="8"/>
        <v>0</v>
      </c>
      <c r="G30" s="4">
        <f t="shared" si="8"/>
        <v>0</v>
      </c>
      <c r="H30" s="4">
        <f t="shared" si="8"/>
        <v>0</v>
      </c>
      <c r="I30" s="4">
        <f t="shared" si="8"/>
        <v>43413.2</v>
      </c>
      <c r="J30" s="4">
        <f t="shared" si="8"/>
        <v>0</v>
      </c>
      <c r="K30" s="4">
        <f t="shared" si="6"/>
        <v>43413.2</v>
      </c>
      <c r="L30" s="4">
        <f t="shared" si="7"/>
        <v>102673.63999999998</v>
      </c>
    </row>
    <row r="31" spans="1:12" ht="15" customHeight="1" x14ac:dyDescent="0.25">
      <c r="A31" s="3" t="s">
        <v>98</v>
      </c>
      <c r="B31" s="2"/>
      <c r="C31" s="2"/>
      <c r="D31" s="2"/>
      <c r="E31" s="2"/>
      <c r="F31" s="2"/>
      <c r="G31" s="2"/>
      <c r="H31" s="2"/>
      <c r="I31" s="2"/>
      <c r="J31" s="2"/>
      <c r="K31" s="5">
        <f t="shared" si="6"/>
        <v>0</v>
      </c>
      <c r="L31" s="5">
        <f t="shared" si="7"/>
        <v>0</v>
      </c>
    </row>
    <row r="32" spans="1:12" ht="15" customHeight="1" x14ac:dyDescent="0.25">
      <c r="A32" s="3" t="s">
        <v>97</v>
      </c>
      <c r="B32" s="2"/>
      <c r="C32" s="5">
        <f>1760</f>
        <v>1760</v>
      </c>
      <c r="D32" s="2"/>
      <c r="E32" s="2"/>
      <c r="F32" s="2"/>
      <c r="G32" s="2"/>
      <c r="H32" s="2"/>
      <c r="I32" s="5">
        <f>15840</f>
        <v>15840</v>
      </c>
      <c r="J32" s="2"/>
      <c r="K32" s="5">
        <f t="shared" si="6"/>
        <v>15840</v>
      </c>
      <c r="L32" s="5">
        <f t="shared" si="7"/>
        <v>17600</v>
      </c>
    </row>
    <row r="33" spans="1:12" ht="15" customHeight="1" x14ac:dyDescent="0.25">
      <c r="A33" s="3" t="s">
        <v>96</v>
      </c>
      <c r="B33" s="2"/>
      <c r="C33" s="2"/>
      <c r="D33" s="2"/>
      <c r="E33" s="2"/>
      <c r="F33" s="2"/>
      <c r="G33" s="2"/>
      <c r="H33" s="2"/>
      <c r="I33" s="5">
        <f>7800</f>
        <v>7800</v>
      </c>
      <c r="J33" s="2"/>
      <c r="K33" s="5">
        <f t="shared" si="6"/>
        <v>7800</v>
      </c>
      <c r="L33" s="5">
        <f t="shared" si="7"/>
        <v>7800</v>
      </c>
    </row>
    <row r="34" spans="1:12" ht="15" customHeight="1" x14ac:dyDescent="0.25">
      <c r="A34" s="3" t="s">
        <v>95</v>
      </c>
      <c r="B34" s="2"/>
      <c r="C34" s="5">
        <f>7333.38</f>
        <v>7333.38</v>
      </c>
      <c r="D34" s="2"/>
      <c r="E34" s="2"/>
      <c r="F34" s="2"/>
      <c r="G34" s="2"/>
      <c r="H34" s="2"/>
      <c r="I34" s="2"/>
      <c r="J34" s="2"/>
      <c r="K34" s="5">
        <f t="shared" si="6"/>
        <v>0</v>
      </c>
      <c r="L34" s="5">
        <f t="shared" si="7"/>
        <v>7333.38</v>
      </c>
    </row>
    <row r="35" spans="1:12" ht="15" customHeight="1" x14ac:dyDescent="0.25">
      <c r="A35" s="3" t="s">
        <v>94</v>
      </c>
      <c r="B35" s="4">
        <f t="shared" ref="B35:J35" si="9">(((B31)+(B32))+(B33))+(B34)</f>
        <v>0</v>
      </c>
      <c r="C35" s="4">
        <f t="shared" si="9"/>
        <v>9093.380000000001</v>
      </c>
      <c r="D35" s="4">
        <f t="shared" si="9"/>
        <v>0</v>
      </c>
      <c r="E35" s="4">
        <f t="shared" si="9"/>
        <v>0</v>
      </c>
      <c r="F35" s="4">
        <f t="shared" si="9"/>
        <v>0</v>
      </c>
      <c r="G35" s="4">
        <f t="shared" si="9"/>
        <v>0</v>
      </c>
      <c r="H35" s="4">
        <f t="shared" si="9"/>
        <v>0</v>
      </c>
      <c r="I35" s="4">
        <f t="shared" si="9"/>
        <v>23640</v>
      </c>
      <c r="J35" s="4">
        <f t="shared" si="9"/>
        <v>0</v>
      </c>
      <c r="K35" s="4">
        <f t="shared" si="6"/>
        <v>23640</v>
      </c>
      <c r="L35" s="4">
        <f t="shared" si="7"/>
        <v>32733.38</v>
      </c>
    </row>
    <row r="36" spans="1:12" ht="15" customHeight="1" x14ac:dyDescent="0.25">
      <c r="A36" s="3" t="s">
        <v>93</v>
      </c>
      <c r="B36" s="2"/>
      <c r="C36" s="2"/>
      <c r="D36" s="2"/>
      <c r="E36" s="2"/>
      <c r="F36" s="2"/>
      <c r="G36" s="2"/>
      <c r="H36" s="2"/>
      <c r="I36" s="2"/>
      <c r="J36" s="2"/>
      <c r="K36" s="5">
        <f t="shared" si="6"/>
        <v>0</v>
      </c>
      <c r="L36" s="5">
        <f t="shared" si="7"/>
        <v>0</v>
      </c>
    </row>
    <row r="37" spans="1:12" ht="15" customHeight="1" x14ac:dyDescent="0.25">
      <c r="A37" s="3" t="s">
        <v>92</v>
      </c>
      <c r="B37" s="2"/>
      <c r="C37" s="2"/>
      <c r="D37" s="2"/>
      <c r="E37" s="2"/>
      <c r="F37" s="2"/>
      <c r="G37" s="2"/>
      <c r="H37" s="2"/>
      <c r="I37" s="2"/>
      <c r="J37" s="5">
        <f>0</f>
        <v>0</v>
      </c>
      <c r="K37" s="5">
        <f t="shared" si="6"/>
        <v>0</v>
      </c>
      <c r="L37" s="5">
        <f t="shared" si="7"/>
        <v>0</v>
      </c>
    </row>
    <row r="38" spans="1:12" ht="15" customHeight="1" x14ac:dyDescent="0.25">
      <c r="A38" s="3" t="s">
        <v>91</v>
      </c>
      <c r="B38" s="2"/>
      <c r="C38" s="5">
        <f>4398.84</f>
        <v>4398.84</v>
      </c>
      <c r="D38" s="2"/>
      <c r="E38" s="2"/>
      <c r="F38" s="2"/>
      <c r="G38" s="5">
        <f>-22</f>
        <v>-22</v>
      </c>
      <c r="H38" s="2"/>
      <c r="I38" s="5">
        <f>4398.8</f>
        <v>4398.8</v>
      </c>
      <c r="J38" s="2"/>
      <c r="K38" s="5">
        <f t="shared" si="6"/>
        <v>4376.8</v>
      </c>
      <c r="L38" s="5">
        <f t="shared" si="7"/>
        <v>8775.64</v>
      </c>
    </row>
    <row r="39" spans="1:12" ht="15" customHeight="1" x14ac:dyDescent="0.25">
      <c r="A39" s="3" t="s">
        <v>90</v>
      </c>
      <c r="B39" s="4">
        <f t="shared" ref="B39:J39" si="10">((B36)+(B37))+(B38)</f>
        <v>0</v>
      </c>
      <c r="C39" s="4">
        <f t="shared" si="10"/>
        <v>4398.84</v>
      </c>
      <c r="D39" s="4">
        <f t="shared" si="10"/>
        <v>0</v>
      </c>
      <c r="E39" s="4">
        <f t="shared" si="10"/>
        <v>0</v>
      </c>
      <c r="F39" s="4">
        <f t="shared" si="10"/>
        <v>0</v>
      </c>
      <c r="G39" s="4">
        <f t="shared" si="10"/>
        <v>-22</v>
      </c>
      <c r="H39" s="4">
        <f t="shared" si="10"/>
        <v>0</v>
      </c>
      <c r="I39" s="4">
        <f t="shared" si="10"/>
        <v>4398.8</v>
      </c>
      <c r="J39" s="4">
        <f t="shared" si="10"/>
        <v>0</v>
      </c>
      <c r="K39" s="4">
        <f t="shared" si="6"/>
        <v>4376.8</v>
      </c>
      <c r="L39" s="4">
        <f t="shared" si="7"/>
        <v>8775.64</v>
      </c>
    </row>
    <row r="40" spans="1:12" ht="15" customHeight="1" x14ac:dyDescent="0.25">
      <c r="A40" s="3" t="s">
        <v>89</v>
      </c>
      <c r="B40" s="2"/>
      <c r="C40" s="2"/>
      <c r="D40" s="2"/>
      <c r="E40" s="2"/>
      <c r="F40" s="2"/>
      <c r="G40" s="2"/>
      <c r="H40" s="2"/>
      <c r="I40" s="2"/>
      <c r="J40" s="2"/>
      <c r="K40" s="5">
        <f t="shared" si="6"/>
        <v>0</v>
      </c>
      <c r="L40" s="5">
        <f t="shared" si="7"/>
        <v>0</v>
      </c>
    </row>
    <row r="41" spans="1:12" ht="15" customHeight="1" x14ac:dyDescent="0.25">
      <c r="A41" s="3" t="s">
        <v>88</v>
      </c>
      <c r="B41" s="2"/>
      <c r="C41" s="5">
        <f>1634.96</f>
        <v>1634.96</v>
      </c>
      <c r="D41" s="2"/>
      <c r="E41" s="2"/>
      <c r="F41" s="2"/>
      <c r="G41" s="2"/>
      <c r="H41" s="2"/>
      <c r="I41" s="5">
        <f>280.5</f>
        <v>280.5</v>
      </c>
      <c r="J41" s="2"/>
      <c r="K41" s="5">
        <f t="shared" si="6"/>
        <v>280.5</v>
      </c>
      <c r="L41" s="5">
        <f t="shared" si="7"/>
        <v>1915.46</v>
      </c>
    </row>
    <row r="42" spans="1:12" ht="15" customHeight="1" x14ac:dyDescent="0.25">
      <c r="A42" s="3" t="s">
        <v>87</v>
      </c>
      <c r="B42" s="2"/>
      <c r="C42" s="5">
        <f>348.85</f>
        <v>348.85</v>
      </c>
      <c r="D42" s="2"/>
      <c r="E42" s="2"/>
      <c r="F42" s="2"/>
      <c r="G42" s="2"/>
      <c r="H42" s="2"/>
      <c r="I42" s="2"/>
      <c r="J42" s="2"/>
      <c r="K42" s="5">
        <f t="shared" si="6"/>
        <v>0</v>
      </c>
      <c r="L42" s="5">
        <f t="shared" si="7"/>
        <v>348.85</v>
      </c>
    </row>
    <row r="43" spans="1:12" ht="15" customHeight="1" x14ac:dyDescent="0.25">
      <c r="A43" s="3" t="s">
        <v>86</v>
      </c>
      <c r="B43" s="2"/>
      <c r="C43" s="5">
        <f>138.33</f>
        <v>138.33000000000001</v>
      </c>
      <c r="D43" s="2"/>
      <c r="E43" s="2"/>
      <c r="F43" s="2"/>
      <c r="G43" s="2"/>
      <c r="H43" s="2"/>
      <c r="I43" s="5">
        <f>180.41</f>
        <v>180.41</v>
      </c>
      <c r="J43" s="2"/>
      <c r="K43" s="5">
        <f t="shared" si="6"/>
        <v>180.41</v>
      </c>
      <c r="L43" s="5">
        <f t="shared" si="7"/>
        <v>318.74</v>
      </c>
    </row>
    <row r="44" spans="1:12" ht="15" customHeight="1" x14ac:dyDescent="0.25">
      <c r="A44" s="3" t="s">
        <v>85</v>
      </c>
      <c r="B44" s="2"/>
      <c r="C44" s="5">
        <f>500</f>
        <v>500</v>
      </c>
      <c r="D44" s="2"/>
      <c r="E44" s="2"/>
      <c r="F44" s="2"/>
      <c r="G44" s="2"/>
      <c r="H44" s="2"/>
      <c r="I44" s="5">
        <f>875.04</f>
        <v>875.04</v>
      </c>
      <c r="J44" s="2"/>
      <c r="K44" s="5">
        <f t="shared" si="6"/>
        <v>875.04</v>
      </c>
      <c r="L44" s="5">
        <f t="shared" si="7"/>
        <v>1375.04</v>
      </c>
    </row>
    <row r="45" spans="1:12" ht="15" customHeight="1" x14ac:dyDescent="0.25">
      <c r="A45" s="3" t="s">
        <v>84</v>
      </c>
      <c r="B45" s="2"/>
      <c r="C45" s="5">
        <f>36</f>
        <v>36</v>
      </c>
      <c r="D45" s="2"/>
      <c r="E45" s="2"/>
      <c r="F45" s="2"/>
      <c r="G45" s="2"/>
      <c r="H45" s="2"/>
      <c r="I45" s="5">
        <f>50</f>
        <v>50</v>
      </c>
      <c r="J45" s="2"/>
      <c r="K45" s="5">
        <f t="shared" si="6"/>
        <v>50</v>
      </c>
      <c r="L45" s="5">
        <f t="shared" si="7"/>
        <v>86</v>
      </c>
    </row>
    <row r="46" spans="1:12" ht="15" customHeight="1" x14ac:dyDescent="0.25">
      <c r="A46" s="3" t="s">
        <v>83</v>
      </c>
      <c r="B46" s="2"/>
      <c r="C46" s="5">
        <f>896.92</f>
        <v>896.92</v>
      </c>
      <c r="D46" s="2"/>
      <c r="E46" s="2"/>
      <c r="F46" s="2"/>
      <c r="G46" s="2"/>
      <c r="H46" s="2"/>
      <c r="I46" s="5">
        <f>595.36</f>
        <v>595.36</v>
      </c>
      <c r="J46" s="2"/>
      <c r="K46" s="5">
        <f t="shared" si="6"/>
        <v>595.36</v>
      </c>
      <c r="L46" s="5">
        <f t="shared" si="7"/>
        <v>1492.28</v>
      </c>
    </row>
    <row r="47" spans="1:12" ht="15" customHeight="1" x14ac:dyDescent="0.25">
      <c r="A47" s="3" t="s">
        <v>82</v>
      </c>
      <c r="B47" s="4">
        <f t="shared" ref="B47:J47" si="11">((((((B40)+(B41))+(B42))+(B43))+(B44))+(B45))+(B46)</f>
        <v>0</v>
      </c>
      <c r="C47" s="4">
        <f t="shared" si="11"/>
        <v>3555.06</v>
      </c>
      <c r="D47" s="4">
        <f t="shared" si="11"/>
        <v>0</v>
      </c>
      <c r="E47" s="4">
        <f t="shared" si="11"/>
        <v>0</v>
      </c>
      <c r="F47" s="4">
        <f t="shared" si="11"/>
        <v>0</v>
      </c>
      <c r="G47" s="4">
        <f t="shared" si="11"/>
        <v>0</v>
      </c>
      <c r="H47" s="4">
        <f t="shared" si="11"/>
        <v>0</v>
      </c>
      <c r="I47" s="4">
        <f t="shared" si="11"/>
        <v>1981.31</v>
      </c>
      <c r="J47" s="4">
        <f t="shared" si="11"/>
        <v>0</v>
      </c>
      <c r="K47" s="4">
        <f t="shared" si="6"/>
        <v>1981.31</v>
      </c>
      <c r="L47" s="4">
        <f t="shared" si="7"/>
        <v>5536.37</v>
      </c>
    </row>
    <row r="48" spans="1:12" ht="15" customHeight="1" x14ac:dyDescent="0.25">
      <c r="A48" s="3" t="s">
        <v>81</v>
      </c>
      <c r="B48" s="2"/>
      <c r="C48" s="2"/>
      <c r="D48" s="2"/>
      <c r="E48" s="2"/>
      <c r="F48" s="2"/>
      <c r="G48" s="2"/>
      <c r="H48" s="2"/>
      <c r="I48" s="2"/>
      <c r="J48" s="2"/>
      <c r="K48" s="5">
        <f t="shared" si="6"/>
        <v>0</v>
      </c>
      <c r="L48" s="5">
        <f t="shared" si="7"/>
        <v>0</v>
      </c>
    </row>
    <row r="49" spans="1:12" ht="15" customHeight="1" x14ac:dyDescent="0.25">
      <c r="A49" s="3" t="s">
        <v>190</v>
      </c>
      <c r="B49" s="2"/>
      <c r="C49" s="5">
        <f>437.5</f>
        <v>437.5</v>
      </c>
      <c r="D49" s="2"/>
      <c r="E49" s="2"/>
      <c r="F49" s="2"/>
      <c r="G49" s="2"/>
      <c r="H49" s="2"/>
      <c r="I49" s="2"/>
      <c r="J49" s="2"/>
      <c r="K49" s="5">
        <f t="shared" si="6"/>
        <v>0</v>
      </c>
      <c r="L49" s="5">
        <f t="shared" si="7"/>
        <v>437.5</v>
      </c>
    </row>
    <row r="50" spans="1:12" ht="15" customHeight="1" x14ac:dyDescent="0.25">
      <c r="A50" s="3" t="s">
        <v>80</v>
      </c>
      <c r="B50" s="2"/>
      <c r="C50" s="5">
        <f>2659.55</f>
        <v>2659.55</v>
      </c>
      <c r="D50" s="2"/>
      <c r="E50" s="2"/>
      <c r="F50" s="2"/>
      <c r="G50" s="2"/>
      <c r="H50" s="2"/>
      <c r="I50" s="2"/>
      <c r="J50" s="5">
        <f>60</f>
        <v>60</v>
      </c>
      <c r="K50" s="5">
        <f t="shared" si="6"/>
        <v>60</v>
      </c>
      <c r="L50" s="5">
        <f t="shared" si="7"/>
        <v>2719.55</v>
      </c>
    </row>
    <row r="51" spans="1:12" ht="15" customHeight="1" x14ac:dyDescent="0.25">
      <c r="A51" s="3" t="s">
        <v>77</v>
      </c>
      <c r="B51" s="4">
        <f t="shared" ref="B51:J51" si="12">((B48)+(B49))+(B50)</f>
        <v>0</v>
      </c>
      <c r="C51" s="4">
        <f t="shared" si="12"/>
        <v>3097.05</v>
      </c>
      <c r="D51" s="4">
        <f t="shared" si="12"/>
        <v>0</v>
      </c>
      <c r="E51" s="4">
        <f t="shared" si="12"/>
        <v>0</v>
      </c>
      <c r="F51" s="4">
        <f t="shared" si="12"/>
        <v>0</v>
      </c>
      <c r="G51" s="4">
        <f t="shared" si="12"/>
        <v>0</v>
      </c>
      <c r="H51" s="4">
        <f t="shared" si="12"/>
        <v>0</v>
      </c>
      <c r="I51" s="4">
        <f t="shared" si="12"/>
        <v>0</v>
      </c>
      <c r="J51" s="4">
        <f t="shared" si="12"/>
        <v>60</v>
      </c>
      <c r="K51" s="4">
        <f t="shared" si="6"/>
        <v>60</v>
      </c>
      <c r="L51" s="4">
        <f t="shared" si="7"/>
        <v>3157.05</v>
      </c>
    </row>
    <row r="52" spans="1:12" ht="15" customHeight="1" x14ac:dyDescent="0.25">
      <c r="A52" s="3" t="s">
        <v>191</v>
      </c>
      <c r="B52" s="2"/>
      <c r="C52" s="2"/>
      <c r="D52" s="2"/>
      <c r="E52" s="2"/>
      <c r="F52" s="2"/>
      <c r="G52" s="2"/>
      <c r="H52" s="2"/>
      <c r="I52" s="2"/>
      <c r="J52" s="5">
        <f>9100</f>
        <v>9100</v>
      </c>
      <c r="K52" s="5">
        <f t="shared" si="6"/>
        <v>9100</v>
      </c>
      <c r="L52" s="5">
        <f t="shared" si="7"/>
        <v>9100</v>
      </c>
    </row>
    <row r="53" spans="1:12" ht="15" customHeight="1" x14ac:dyDescent="0.25">
      <c r="A53" s="3" t="s">
        <v>76</v>
      </c>
      <c r="B53" s="4">
        <f t="shared" ref="B53:J53" si="13">((((((((((((B18)+(B19))+(B20))+(B21))+(B22))+(B23))+(B24))+(B30))+(B35))+(B39))+(B47))+(B51))+(B52)</f>
        <v>0</v>
      </c>
      <c r="C53" s="4">
        <f t="shared" si="13"/>
        <v>84519.18</v>
      </c>
      <c r="D53" s="4">
        <f t="shared" si="13"/>
        <v>0</v>
      </c>
      <c r="E53" s="4">
        <f t="shared" si="13"/>
        <v>0</v>
      </c>
      <c r="F53" s="4">
        <f t="shared" si="13"/>
        <v>182.25</v>
      </c>
      <c r="G53" s="4">
        <f t="shared" si="13"/>
        <v>-22</v>
      </c>
      <c r="H53" s="4">
        <f t="shared" si="13"/>
        <v>79.97</v>
      </c>
      <c r="I53" s="4">
        <f t="shared" si="13"/>
        <v>75882.98</v>
      </c>
      <c r="J53" s="4">
        <f t="shared" si="13"/>
        <v>22760</v>
      </c>
      <c r="K53" s="4">
        <f t="shared" si="6"/>
        <v>98700.95</v>
      </c>
      <c r="L53" s="4">
        <f t="shared" si="7"/>
        <v>183402.38</v>
      </c>
    </row>
    <row r="54" spans="1:12" ht="15" customHeight="1" x14ac:dyDescent="0.25">
      <c r="A54" s="3" t="s">
        <v>75</v>
      </c>
      <c r="B54" s="4">
        <f t="shared" ref="B54:J54" si="14">(B16)-(B53)</f>
        <v>0</v>
      </c>
      <c r="C54" s="4">
        <f t="shared" si="14"/>
        <v>-51185.819999999992</v>
      </c>
      <c r="D54" s="4">
        <f t="shared" si="14"/>
        <v>0</v>
      </c>
      <c r="E54" s="4">
        <f t="shared" si="14"/>
        <v>0</v>
      </c>
      <c r="F54" s="4">
        <f t="shared" si="14"/>
        <v>-182.25</v>
      </c>
      <c r="G54" s="4">
        <f t="shared" si="14"/>
        <v>147190.96</v>
      </c>
      <c r="H54" s="4">
        <f t="shared" si="14"/>
        <v>-79.97</v>
      </c>
      <c r="I54" s="4">
        <f t="shared" si="14"/>
        <v>-75882.98</v>
      </c>
      <c r="J54" s="4">
        <f t="shared" si="14"/>
        <v>-22760</v>
      </c>
      <c r="K54" s="4">
        <f t="shared" si="6"/>
        <v>48468.009999999995</v>
      </c>
      <c r="L54" s="4">
        <f t="shared" si="7"/>
        <v>-2900.0599999999977</v>
      </c>
    </row>
    <row r="55" spans="1:12" ht="15" customHeight="1" x14ac:dyDescent="0.25">
      <c r="A55" s="3" t="s">
        <v>74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" customHeight="1" x14ac:dyDescent="0.25">
      <c r="A56" s="3" t="s">
        <v>73</v>
      </c>
      <c r="B56" s="5">
        <f>-128928</f>
        <v>-128928</v>
      </c>
      <c r="C56" s="2"/>
      <c r="D56" s="5">
        <f>0</f>
        <v>0</v>
      </c>
      <c r="E56" s="5">
        <f>1495228.4</f>
        <v>1495228.4</v>
      </c>
      <c r="F56" s="5">
        <f>250629.41</f>
        <v>250629.41</v>
      </c>
      <c r="G56" s="2"/>
      <c r="H56" s="2"/>
      <c r="I56" s="2"/>
      <c r="J56" s="2"/>
      <c r="K56" s="5">
        <f t="shared" ref="K56:K63" si="15">(((G56)+(H56))+(I56))+(J56)</f>
        <v>0</v>
      </c>
      <c r="L56" s="5">
        <f t="shared" ref="L56:L63" si="16">(((((B56)+(C56))+(D56))+(E56))+(F56))+(K56)</f>
        <v>1616929.8099999998</v>
      </c>
    </row>
    <row r="57" spans="1:12" ht="23.25" x14ac:dyDescent="0.25">
      <c r="A57" s="3" t="s">
        <v>72</v>
      </c>
      <c r="B57" s="2"/>
      <c r="C57" s="2"/>
      <c r="D57" s="2"/>
      <c r="E57" s="2"/>
      <c r="F57" s="2"/>
      <c r="G57" s="2"/>
      <c r="H57" s="2"/>
      <c r="I57" s="2"/>
      <c r="J57" s="2"/>
      <c r="K57" s="5">
        <f t="shared" si="15"/>
        <v>0</v>
      </c>
      <c r="L57" s="5">
        <f t="shared" si="16"/>
        <v>0</v>
      </c>
    </row>
    <row r="58" spans="1:12" x14ac:dyDescent="0.25">
      <c r="A58" s="3" t="s">
        <v>71</v>
      </c>
      <c r="B58" s="2"/>
      <c r="C58" s="2"/>
      <c r="D58" s="5">
        <f>96309.27</f>
        <v>96309.27</v>
      </c>
      <c r="E58" s="5">
        <f>87628.2</f>
        <v>87628.2</v>
      </c>
      <c r="F58" s="5">
        <f>5815.26</f>
        <v>5815.26</v>
      </c>
      <c r="G58" s="2"/>
      <c r="H58" s="2"/>
      <c r="I58" s="2"/>
      <c r="J58" s="2"/>
      <c r="K58" s="5">
        <f t="shared" si="15"/>
        <v>0</v>
      </c>
      <c r="L58" s="5">
        <f t="shared" si="16"/>
        <v>189752.73</v>
      </c>
    </row>
    <row r="59" spans="1:12" ht="23.25" x14ac:dyDescent="0.25">
      <c r="A59" s="3" t="s">
        <v>180</v>
      </c>
      <c r="B59" s="2"/>
      <c r="C59" s="2"/>
      <c r="D59" s="5">
        <f>0</f>
        <v>0</v>
      </c>
      <c r="E59" s="5">
        <f>0</f>
        <v>0</v>
      </c>
      <c r="F59" s="5">
        <f>0</f>
        <v>0</v>
      </c>
      <c r="G59" s="2"/>
      <c r="H59" s="2"/>
      <c r="I59" s="2"/>
      <c r="J59" s="2"/>
      <c r="K59" s="5">
        <f t="shared" si="15"/>
        <v>0</v>
      </c>
      <c r="L59" s="5">
        <f t="shared" si="16"/>
        <v>0</v>
      </c>
    </row>
    <row r="60" spans="1:12" ht="23.25" x14ac:dyDescent="0.25">
      <c r="A60" s="3" t="s">
        <v>70</v>
      </c>
      <c r="B60" s="2"/>
      <c r="C60" s="2"/>
      <c r="D60" s="5">
        <f>346672.96</f>
        <v>346672.96</v>
      </c>
      <c r="E60" s="5">
        <f>327939.7</f>
        <v>327939.7</v>
      </c>
      <c r="F60" s="5">
        <f>20444.3</f>
        <v>20444.3</v>
      </c>
      <c r="G60" s="2"/>
      <c r="H60" s="2"/>
      <c r="I60" s="2"/>
      <c r="J60" s="2"/>
      <c r="K60" s="5">
        <f t="shared" si="15"/>
        <v>0</v>
      </c>
      <c r="L60" s="5">
        <f t="shared" si="16"/>
        <v>695056.96000000008</v>
      </c>
    </row>
    <row r="61" spans="1:12" ht="23.25" x14ac:dyDescent="0.25">
      <c r="A61" s="3" t="s">
        <v>69</v>
      </c>
      <c r="B61" s="2"/>
      <c r="C61" s="2"/>
      <c r="D61" s="5">
        <f>-39926.93</f>
        <v>-39926.93</v>
      </c>
      <c r="E61" s="5">
        <f>-37100.76</f>
        <v>-37100.76</v>
      </c>
      <c r="F61" s="5">
        <f>0</f>
        <v>0</v>
      </c>
      <c r="G61" s="2"/>
      <c r="H61" s="2"/>
      <c r="I61" s="2"/>
      <c r="J61" s="2"/>
      <c r="K61" s="5">
        <f t="shared" si="15"/>
        <v>0</v>
      </c>
      <c r="L61" s="5">
        <f t="shared" si="16"/>
        <v>-77027.69</v>
      </c>
    </row>
    <row r="62" spans="1:12" ht="23.25" x14ac:dyDescent="0.25">
      <c r="A62" s="3" t="s">
        <v>68</v>
      </c>
      <c r="B62" s="4">
        <f t="shared" ref="B62:J62" si="17">((((B57)+(B58))+(B59))+(B60))+(B61)</f>
        <v>0</v>
      </c>
      <c r="C62" s="4">
        <f t="shared" si="17"/>
        <v>0</v>
      </c>
      <c r="D62" s="4">
        <f t="shared" si="17"/>
        <v>403055.30000000005</v>
      </c>
      <c r="E62" s="4">
        <f t="shared" si="17"/>
        <v>378467.14</v>
      </c>
      <c r="F62" s="4">
        <f t="shared" si="17"/>
        <v>26259.559999999998</v>
      </c>
      <c r="G62" s="4">
        <f t="shared" si="17"/>
        <v>0</v>
      </c>
      <c r="H62" s="4">
        <f t="shared" si="17"/>
        <v>0</v>
      </c>
      <c r="I62" s="4">
        <f t="shared" si="17"/>
        <v>0</v>
      </c>
      <c r="J62" s="4">
        <f t="shared" si="17"/>
        <v>0</v>
      </c>
      <c r="K62" s="4">
        <f t="shared" si="15"/>
        <v>0</v>
      </c>
      <c r="L62" s="4">
        <f t="shared" si="16"/>
        <v>807782</v>
      </c>
    </row>
    <row r="63" spans="1:12" x14ac:dyDescent="0.25">
      <c r="A63" s="3" t="s">
        <v>67</v>
      </c>
      <c r="B63" s="4">
        <f t="shared" ref="B63:J63" si="18">(B56)+(B62)</f>
        <v>-128928</v>
      </c>
      <c r="C63" s="4">
        <f t="shared" si="18"/>
        <v>0</v>
      </c>
      <c r="D63" s="4">
        <f t="shared" si="18"/>
        <v>403055.30000000005</v>
      </c>
      <c r="E63" s="4">
        <f t="shared" si="18"/>
        <v>1873695.54</v>
      </c>
      <c r="F63" s="4">
        <f t="shared" si="18"/>
        <v>276888.96999999997</v>
      </c>
      <c r="G63" s="4">
        <f t="shared" si="18"/>
        <v>0</v>
      </c>
      <c r="H63" s="4">
        <f t="shared" si="18"/>
        <v>0</v>
      </c>
      <c r="I63" s="4">
        <f t="shared" si="18"/>
        <v>0</v>
      </c>
      <c r="J63" s="4">
        <f t="shared" si="18"/>
        <v>0</v>
      </c>
      <c r="K63" s="4">
        <f t="shared" si="15"/>
        <v>0</v>
      </c>
      <c r="L63" s="4">
        <f t="shared" si="16"/>
        <v>2424711.8099999996</v>
      </c>
    </row>
    <row r="64" spans="1:12" x14ac:dyDescent="0.25">
      <c r="A64" s="3" t="s">
        <v>66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3" t="s">
        <v>65</v>
      </c>
      <c r="B65" s="5">
        <f>-68299.32</f>
        <v>-68299.320000000007</v>
      </c>
      <c r="C65" s="2"/>
      <c r="D65" s="5">
        <f>11298.58</f>
        <v>11298.58</v>
      </c>
      <c r="E65" s="5">
        <f>909209.38</f>
        <v>909209.38</v>
      </c>
      <c r="F65" s="5">
        <f>516084.08</f>
        <v>516084.08</v>
      </c>
      <c r="G65" s="5">
        <f>-32500</f>
        <v>-32500</v>
      </c>
      <c r="H65" s="2"/>
      <c r="I65" s="2"/>
      <c r="J65" s="2"/>
      <c r="K65" s="5">
        <f>(((G65)+(H65))+(I65))+(J65)</f>
        <v>-32500</v>
      </c>
      <c r="L65" s="5">
        <f>(((((B65)+(C65))+(D65))+(E65))+(F65))+(K65)</f>
        <v>1335792.72</v>
      </c>
    </row>
    <row r="66" spans="1:12" x14ac:dyDescent="0.25">
      <c r="A66" s="3" t="s">
        <v>64</v>
      </c>
      <c r="B66" s="4">
        <f t="shared" ref="B66:J66" si="19">B65</f>
        <v>-68299.320000000007</v>
      </c>
      <c r="C66" s="4">
        <f t="shared" si="19"/>
        <v>0</v>
      </c>
      <c r="D66" s="4">
        <f t="shared" si="19"/>
        <v>11298.58</v>
      </c>
      <c r="E66" s="4">
        <f t="shared" si="19"/>
        <v>909209.38</v>
      </c>
      <c r="F66" s="4">
        <f t="shared" si="19"/>
        <v>516084.08</v>
      </c>
      <c r="G66" s="4">
        <f t="shared" si="19"/>
        <v>-32500</v>
      </c>
      <c r="H66" s="4">
        <f t="shared" si="19"/>
        <v>0</v>
      </c>
      <c r="I66" s="4">
        <f t="shared" si="19"/>
        <v>0</v>
      </c>
      <c r="J66" s="4">
        <f t="shared" si="19"/>
        <v>0</v>
      </c>
      <c r="K66" s="4">
        <f>(((G66)+(H66))+(I66))+(J66)</f>
        <v>-32500</v>
      </c>
      <c r="L66" s="4">
        <f>(((((B66)+(C66))+(D66))+(E66))+(F66))+(K66)</f>
        <v>1335792.72</v>
      </c>
    </row>
    <row r="67" spans="1:12" x14ac:dyDescent="0.25">
      <c r="A67" s="3" t="s">
        <v>63</v>
      </c>
      <c r="B67" s="4">
        <f t="shared" ref="B67:J67" si="20">(B63)-(B66)</f>
        <v>-60628.679999999993</v>
      </c>
      <c r="C67" s="4">
        <f t="shared" si="20"/>
        <v>0</v>
      </c>
      <c r="D67" s="4">
        <f t="shared" si="20"/>
        <v>391756.72000000003</v>
      </c>
      <c r="E67" s="4">
        <f t="shared" si="20"/>
        <v>964486.16</v>
      </c>
      <c r="F67" s="4">
        <f t="shared" si="20"/>
        <v>-239195.11000000004</v>
      </c>
      <c r="G67" s="4">
        <f t="shared" si="20"/>
        <v>32500</v>
      </c>
      <c r="H67" s="4">
        <f t="shared" si="20"/>
        <v>0</v>
      </c>
      <c r="I67" s="4">
        <f t="shared" si="20"/>
        <v>0</v>
      </c>
      <c r="J67" s="4">
        <f t="shared" si="20"/>
        <v>0</v>
      </c>
      <c r="K67" s="4">
        <f>(((G67)+(H67))+(I67))+(J67)</f>
        <v>32500</v>
      </c>
      <c r="L67" s="4">
        <f>(((((B67)+(C67))+(D67))+(E67))+(F67))+(K67)</f>
        <v>1088919.0900000001</v>
      </c>
    </row>
    <row r="68" spans="1:12" x14ac:dyDescent="0.25">
      <c r="A68" s="3" t="s">
        <v>62</v>
      </c>
      <c r="B68" s="4">
        <f t="shared" ref="B68:J68" si="21">(B54)+(B67)</f>
        <v>-60628.679999999993</v>
      </c>
      <c r="C68" s="4">
        <f t="shared" si="21"/>
        <v>-51185.819999999992</v>
      </c>
      <c r="D68" s="4">
        <f t="shared" si="21"/>
        <v>391756.72000000003</v>
      </c>
      <c r="E68" s="4">
        <f t="shared" si="21"/>
        <v>964486.16</v>
      </c>
      <c r="F68" s="4">
        <f t="shared" si="21"/>
        <v>-239377.36000000004</v>
      </c>
      <c r="G68" s="4">
        <f t="shared" si="21"/>
        <v>179690.96</v>
      </c>
      <c r="H68" s="4">
        <f t="shared" si="21"/>
        <v>-79.97</v>
      </c>
      <c r="I68" s="4">
        <f t="shared" si="21"/>
        <v>-75882.98</v>
      </c>
      <c r="J68" s="4">
        <f t="shared" si="21"/>
        <v>-22760</v>
      </c>
      <c r="K68" s="4">
        <f>(((G68)+(H68))+(I68))+(J68)</f>
        <v>80968.009999999995</v>
      </c>
      <c r="L68" s="4">
        <f>(((((B68)+(C68))+(D68))+(E68))+(F68))+(K68)</f>
        <v>1086019.03</v>
      </c>
    </row>
    <row r="69" spans="1:12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117" t="s">
        <v>61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</row>
    <row r="72" spans="1:12" x14ac:dyDescent="0.25">
      <c r="A72" s="118" t="s">
        <v>240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</row>
  </sheetData>
  <mergeCells count="3">
    <mergeCell ref="A70:L70"/>
    <mergeCell ref="A72:L7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3"/>
  <sheetViews>
    <sheetView workbookViewId="0">
      <selection activeCell="A14" sqref="A14:XFD14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4" t="s">
        <v>59</v>
      </c>
      <c r="B1" s="115"/>
      <c r="C1" s="115"/>
      <c r="D1" s="115"/>
      <c r="E1" s="115"/>
      <c r="F1" s="115"/>
      <c r="G1" s="115"/>
    </row>
    <row r="2" spans="1:7" ht="18" x14ac:dyDescent="0.25">
      <c r="A2" s="114" t="s">
        <v>132</v>
      </c>
      <c r="B2" s="115"/>
      <c r="C2" s="115"/>
      <c r="D2" s="115"/>
      <c r="E2" s="115"/>
      <c r="F2" s="115"/>
      <c r="G2" s="115"/>
    </row>
    <row r="3" spans="1:7" x14ac:dyDescent="0.25">
      <c r="A3" s="116" t="s">
        <v>239</v>
      </c>
      <c r="B3" s="115"/>
      <c r="C3" s="115"/>
      <c r="D3" s="115"/>
      <c r="E3" s="115"/>
      <c r="F3" s="115"/>
      <c r="G3" s="115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225</v>
      </c>
      <c r="B6" s="5">
        <f>2000</f>
        <v>2000</v>
      </c>
      <c r="C6" s="2"/>
      <c r="D6" s="2"/>
      <c r="E6" s="2"/>
      <c r="F6" s="2"/>
      <c r="G6" s="5">
        <f>((((B6)+(C6))+(D6))+(E6))+(F6)</f>
        <v>2000</v>
      </c>
    </row>
    <row r="7" spans="1:7" x14ac:dyDescent="0.25">
      <c r="A7" s="3" t="s">
        <v>200</v>
      </c>
      <c r="B7" s="2"/>
      <c r="C7" s="5">
        <f>393</f>
        <v>393</v>
      </c>
      <c r="D7" s="2"/>
      <c r="E7" s="5">
        <f>515</f>
        <v>515</v>
      </c>
      <c r="F7" s="5">
        <f>285</f>
        <v>285</v>
      </c>
      <c r="G7" s="5">
        <f>((((B7)+(C7))+(D7))+(E7))+(F7)</f>
        <v>1193</v>
      </c>
    </row>
    <row r="8" spans="1:7" x14ac:dyDescent="0.25">
      <c r="A8" s="3" t="s">
        <v>204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126</v>
      </c>
      <c r="B9" s="4">
        <f>((B6)+(B7))+(B8)</f>
        <v>4200</v>
      </c>
      <c r="C9" s="4">
        <f>((C6)+(C7))+(C8)</f>
        <v>393</v>
      </c>
      <c r="D9" s="4">
        <f>((D6)+(D7))+(D8)</f>
        <v>0</v>
      </c>
      <c r="E9" s="4">
        <f>((E6)+(E7))+(E8)</f>
        <v>515</v>
      </c>
      <c r="F9" s="4">
        <f>((F6)+(F7))+(F8)</f>
        <v>285</v>
      </c>
      <c r="G9" s="4">
        <f>((((B9)+(C9))+(D9))+(E9))+(F9)</f>
        <v>5393</v>
      </c>
    </row>
    <row r="10" spans="1:7" x14ac:dyDescent="0.25">
      <c r="A10" s="3"/>
      <c r="B10" s="2"/>
      <c r="C10" s="2"/>
      <c r="D10" s="2"/>
      <c r="E10" s="2"/>
      <c r="F10" s="2"/>
      <c r="G10" s="2"/>
    </row>
    <row r="13" spans="1:7" x14ac:dyDescent="0.25">
      <c r="A13" s="118" t="s">
        <v>241</v>
      </c>
      <c r="B13" s="115"/>
      <c r="C13" s="115"/>
      <c r="D13" s="115"/>
      <c r="E13" s="115"/>
      <c r="F13" s="115"/>
      <c r="G13" s="115"/>
    </row>
  </sheetData>
  <mergeCells count="4">
    <mergeCell ref="A1:G1"/>
    <mergeCell ref="A2:G2"/>
    <mergeCell ref="A3:G3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A11" sqref="A11:G11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4" t="s">
        <v>59</v>
      </c>
      <c r="B1" s="115"/>
      <c r="C1" s="115"/>
      <c r="D1" s="115"/>
      <c r="E1" s="115"/>
      <c r="F1" s="115"/>
      <c r="G1" s="115"/>
    </row>
    <row r="2" spans="1:7" ht="18" x14ac:dyDescent="0.25">
      <c r="A2" s="114" t="s">
        <v>203</v>
      </c>
      <c r="B2" s="115"/>
      <c r="C2" s="115"/>
      <c r="D2" s="115"/>
      <c r="E2" s="115"/>
      <c r="F2" s="115"/>
      <c r="G2" s="115"/>
    </row>
    <row r="3" spans="1:7" x14ac:dyDescent="0.25">
      <c r="A3" s="116" t="s">
        <v>239</v>
      </c>
      <c r="B3" s="115"/>
      <c r="C3" s="115"/>
      <c r="D3" s="115"/>
      <c r="E3" s="115"/>
      <c r="F3" s="115"/>
      <c r="G3" s="115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208</v>
      </c>
      <c r="B6" s="5">
        <f>8333.34</f>
        <v>8333.34</v>
      </c>
      <c r="C6" s="5">
        <f>4166.67</f>
        <v>4166.67</v>
      </c>
      <c r="D6" s="2"/>
      <c r="E6" s="5">
        <f>4166.67</f>
        <v>4166.67</v>
      </c>
      <c r="F6" s="5">
        <f>16666.68</f>
        <v>16666.68</v>
      </c>
      <c r="G6" s="5">
        <f>((((B6)+(C6))+(D6))+(E6))+(F6)</f>
        <v>33333.360000000001</v>
      </c>
    </row>
    <row r="7" spans="1:7" x14ac:dyDescent="0.25">
      <c r="A7" s="3" t="s">
        <v>126</v>
      </c>
      <c r="B7" s="4">
        <f>B6</f>
        <v>8333.34</v>
      </c>
      <c r="C7" s="4">
        <f>C6</f>
        <v>4166.67</v>
      </c>
      <c r="D7" s="4">
        <f>D6</f>
        <v>0</v>
      </c>
      <c r="E7" s="4">
        <f>E6</f>
        <v>4166.67</v>
      </c>
      <c r="F7" s="4">
        <f>F6</f>
        <v>16666.68</v>
      </c>
      <c r="G7" s="4">
        <f>((((B7)+(C7))+(D7))+(E7))+(F7)</f>
        <v>33333.360000000001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18" t="s">
        <v>242</v>
      </c>
      <c r="B11" s="115"/>
      <c r="C11" s="115"/>
      <c r="D11" s="115"/>
      <c r="E11" s="115"/>
      <c r="F11" s="115"/>
      <c r="G11" s="115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2024-04-21T20:02:14Z</dcterms:modified>
</cp:coreProperties>
</file>