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1 2023.08.31 and 2023.07.31 Actual vs Budget for September 18 2023 Board Meeting\"/>
    </mc:Choice>
  </mc:AlternateContent>
  <xr:revisionPtr revIDLastSave="0" documentId="13_ncr:1_{094608F5-637B-42B7-BDCE-64098C44E35D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2" l="1"/>
  <c r="G54" i="12"/>
  <c r="F54" i="12"/>
  <c r="I54" i="12" s="1"/>
  <c r="C54" i="12"/>
  <c r="B54" i="12"/>
  <c r="F53" i="12"/>
  <c r="I53" i="12" s="1"/>
  <c r="E53" i="12"/>
  <c r="E54" i="12" s="1"/>
  <c r="D53" i="12"/>
  <c r="H50" i="12"/>
  <c r="H51" i="12" s="1"/>
  <c r="H55" i="12" s="1"/>
  <c r="G50" i="12"/>
  <c r="G51" i="12" s="1"/>
  <c r="F50" i="12"/>
  <c r="F51" i="12" s="1"/>
  <c r="B50" i="12"/>
  <c r="J49" i="12"/>
  <c r="I49" i="12"/>
  <c r="E49" i="12"/>
  <c r="D49" i="12"/>
  <c r="C49" i="12"/>
  <c r="I48" i="12"/>
  <c r="E48" i="12"/>
  <c r="D48" i="12"/>
  <c r="C48" i="12"/>
  <c r="I47" i="12"/>
  <c r="E47" i="12"/>
  <c r="D47" i="12"/>
  <c r="C47" i="12"/>
  <c r="I46" i="12"/>
  <c r="E46" i="12"/>
  <c r="D46" i="12"/>
  <c r="C46" i="12"/>
  <c r="J46" i="12" s="1"/>
  <c r="I45" i="12"/>
  <c r="J45" i="12" s="1"/>
  <c r="I44" i="12"/>
  <c r="E44" i="12"/>
  <c r="D44" i="12"/>
  <c r="C44" i="12"/>
  <c r="J44" i="12" s="1"/>
  <c r="I40" i="12"/>
  <c r="H40" i="12"/>
  <c r="G40" i="12"/>
  <c r="F40" i="12"/>
  <c r="E40" i="12"/>
  <c r="D40" i="12"/>
  <c r="C40" i="12"/>
  <c r="I39" i="12"/>
  <c r="J39" i="12" s="1"/>
  <c r="B39" i="12"/>
  <c r="I38" i="12"/>
  <c r="B38" i="12"/>
  <c r="J38" i="12" s="1"/>
  <c r="I37" i="12"/>
  <c r="J37" i="12" s="1"/>
  <c r="H36" i="12"/>
  <c r="F36" i="12"/>
  <c r="E36" i="12"/>
  <c r="D36" i="12"/>
  <c r="C36" i="12"/>
  <c r="B36" i="12"/>
  <c r="I35" i="12"/>
  <c r="G35" i="12"/>
  <c r="B35" i="12"/>
  <c r="G34" i="12"/>
  <c r="I34" i="12" s="1"/>
  <c r="J34" i="12" s="1"/>
  <c r="J33" i="12"/>
  <c r="I33" i="12"/>
  <c r="B33" i="12"/>
  <c r="I32" i="12"/>
  <c r="J32" i="12" s="1"/>
  <c r="B32" i="12"/>
  <c r="G31" i="12"/>
  <c r="I30" i="12"/>
  <c r="J30" i="12" s="1"/>
  <c r="H29" i="12"/>
  <c r="F29" i="12"/>
  <c r="E29" i="12"/>
  <c r="D29" i="12"/>
  <c r="C29" i="12"/>
  <c r="G28" i="12"/>
  <c r="G29" i="12" s="1"/>
  <c r="B28" i="12"/>
  <c r="B29" i="12" s="1"/>
  <c r="I27" i="12"/>
  <c r="J27" i="12" s="1"/>
  <c r="H26" i="12"/>
  <c r="F26" i="12"/>
  <c r="E26" i="12"/>
  <c r="D26" i="12"/>
  <c r="D41" i="12" s="1"/>
  <c r="C26" i="12"/>
  <c r="G25" i="12"/>
  <c r="I25" i="12" s="1"/>
  <c r="B25" i="12"/>
  <c r="G24" i="12"/>
  <c r="B24" i="12"/>
  <c r="J23" i="12"/>
  <c r="I23" i="12"/>
  <c r="B23" i="12"/>
  <c r="I22" i="12"/>
  <c r="J22" i="12" s="1"/>
  <c r="H21" i="12"/>
  <c r="I21" i="12" s="1"/>
  <c r="J21" i="12" s="1"/>
  <c r="B21" i="12"/>
  <c r="I20" i="12"/>
  <c r="B20" i="12"/>
  <c r="J20" i="12" s="1"/>
  <c r="I19" i="12"/>
  <c r="G19" i="12"/>
  <c r="E19" i="12"/>
  <c r="I18" i="12"/>
  <c r="J18" i="12" s="1"/>
  <c r="B18" i="12"/>
  <c r="F14" i="12"/>
  <c r="I14" i="12" s="1"/>
  <c r="J14" i="12" s="1"/>
  <c r="E13" i="12"/>
  <c r="E15" i="12" s="1"/>
  <c r="E16" i="12" s="1"/>
  <c r="D13" i="12"/>
  <c r="D15" i="12" s="1"/>
  <c r="D16" i="12" s="1"/>
  <c r="D42" i="12" s="1"/>
  <c r="I12" i="12"/>
  <c r="B12" i="12"/>
  <c r="J12" i="12" s="1"/>
  <c r="H11" i="12"/>
  <c r="H13" i="12" s="1"/>
  <c r="H15" i="12" s="1"/>
  <c r="H16" i="12" s="1"/>
  <c r="G11" i="12"/>
  <c r="G13" i="12" s="1"/>
  <c r="G15" i="12" s="1"/>
  <c r="G16" i="12" s="1"/>
  <c r="E11" i="12"/>
  <c r="D11" i="12"/>
  <c r="C11" i="12"/>
  <c r="C13" i="12" s="1"/>
  <c r="C15" i="12" s="1"/>
  <c r="C16" i="12" s="1"/>
  <c r="B11" i="12"/>
  <c r="F10" i="12"/>
  <c r="I10" i="12" s="1"/>
  <c r="J10" i="12" s="1"/>
  <c r="I9" i="12"/>
  <c r="J9" i="12" s="1"/>
  <c r="F8" i="12"/>
  <c r="I8" i="12" s="1"/>
  <c r="J8" i="12" s="1"/>
  <c r="I7" i="12"/>
  <c r="J7" i="12" s="1"/>
  <c r="F11" i="4"/>
  <c r="E11" i="4"/>
  <c r="D11" i="4"/>
  <c r="B10" i="4"/>
  <c r="G10" i="4" s="1"/>
  <c r="B9" i="4"/>
  <c r="G9" i="4" s="1"/>
  <c r="B8" i="4"/>
  <c r="G8" i="4" s="1"/>
  <c r="C7" i="4"/>
  <c r="G7" i="4" s="1"/>
  <c r="B6" i="4"/>
  <c r="F7" i="9"/>
  <c r="E7" i="9"/>
  <c r="D7" i="9"/>
  <c r="C7" i="9"/>
  <c r="B6" i="9"/>
  <c r="G6" i="9" s="1"/>
  <c r="P23" i="6"/>
  <c r="P15" i="6"/>
  <c r="P14" i="6"/>
  <c r="P13" i="6"/>
  <c r="P12" i="6"/>
  <c r="J53" i="12" l="1"/>
  <c r="H41" i="12"/>
  <c r="E41" i="12"/>
  <c r="G36" i="12"/>
  <c r="I36" i="12" s="1"/>
  <c r="J36" i="12" s="1"/>
  <c r="J35" i="12"/>
  <c r="B13" i="12"/>
  <c r="C41" i="12"/>
  <c r="C42" i="12" s="1"/>
  <c r="C56" i="12" s="1"/>
  <c r="J48" i="12"/>
  <c r="G55" i="12"/>
  <c r="H42" i="12"/>
  <c r="H56" i="12" s="1"/>
  <c r="J25" i="12"/>
  <c r="C50" i="12"/>
  <c r="C51" i="12" s="1"/>
  <c r="C55" i="12" s="1"/>
  <c r="B11" i="4"/>
  <c r="E42" i="12"/>
  <c r="E56" i="12" s="1"/>
  <c r="B26" i="12"/>
  <c r="D50" i="12"/>
  <c r="D51" i="12" s="1"/>
  <c r="I50" i="12"/>
  <c r="J50" i="12" s="1"/>
  <c r="P19" i="6"/>
  <c r="G26" i="12"/>
  <c r="E50" i="12"/>
  <c r="B51" i="12"/>
  <c r="B55" i="12" s="1"/>
  <c r="D54" i="12"/>
  <c r="J54" i="12" s="1"/>
  <c r="I24" i="12"/>
  <c r="F41" i="12"/>
  <c r="B40" i="12"/>
  <c r="J40" i="12" s="1"/>
  <c r="B15" i="12"/>
  <c r="E51" i="12"/>
  <c r="E55" i="12" s="1"/>
  <c r="I26" i="12"/>
  <c r="J26" i="12" s="1"/>
  <c r="I51" i="12"/>
  <c r="F55" i="12"/>
  <c r="I55" i="12" s="1"/>
  <c r="I31" i="12"/>
  <c r="J31" i="12" s="1"/>
  <c r="B41" i="12"/>
  <c r="I28" i="12"/>
  <c r="J28" i="12"/>
  <c r="I29" i="12"/>
  <c r="J29" i="12" s="1"/>
  <c r="J47" i="12"/>
  <c r="J19" i="12"/>
  <c r="J24" i="12"/>
  <c r="F11" i="12"/>
  <c r="I11" i="12" s="1"/>
  <c r="J11" i="12" s="1"/>
  <c r="C11" i="4"/>
  <c r="G11" i="4" s="1"/>
  <c r="G6" i="4"/>
  <c r="B7" i="9"/>
  <c r="G7" i="9" s="1"/>
  <c r="D55" i="12" l="1"/>
  <c r="D56" i="12" s="1"/>
  <c r="J51" i="12"/>
  <c r="G41" i="12"/>
  <c r="J55" i="12"/>
  <c r="F13" i="12"/>
  <c r="B16" i="12"/>
  <c r="C63" i="1"/>
  <c r="B63" i="1"/>
  <c r="C62" i="1"/>
  <c r="B62" i="1"/>
  <c r="C61" i="1"/>
  <c r="B61" i="1"/>
  <c r="C60" i="1"/>
  <c r="B60" i="1"/>
  <c r="C59" i="1"/>
  <c r="B59" i="1"/>
  <c r="B64" i="1" s="1"/>
  <c r="C54" i="1"/>
  <c r="B54" i="1"/>
  <c r="C53" i="1"/>
  <c r="B53" i="1"/>
  <c r="B55" i="1" s="1"/>
  <c r="C52" i="1"/>
  <c r="C55" i="1" s="1"/>
  <c r="B52" i="1"/>
  <c r="C49" i="1"/>
  <c r="C50" i="1" s="1"/>
  <c r="B49" i="1"/>
  <c r="B50" i="1" s="1"/>
  <c r="C42" i="1"/>
  <c r="B42" i="1"/>
  <c r="C41" i="1"/>
  <c r="B41" i="1"/>
  <c r="C40" i="1"/>
  <c r="B40" i="1"/>
  <c r="C39" i="1"/>
  <c r="B39" i="1"/>
  <c r="C38" i="1"/>
  <c r="B38" i="1"/>
  <c r="C36" i="1"/>
  <c r="B36" i="1"/>
  <c r="B37" i="1" s="1"/>
  <c r="C35" i="1"/>
  <c r="B35" i="1"/>
  <c r="C33" i="1"/>
  <c r="B33" i="1"/>
  <c r="C32" i="1"/>
  <c r="B32" i="1"/>
  <c r="C31" i="1"/>
  <c r="B31" i="1"/>
  <c r="C30" i="1"/>
  <c r="B30" i="1"/>
  <c r="C26" i="1"/>
  <c r="B26" i="1"/>
  <c r="C25" i="1"/>
  <c r="C27" i="1" s="1"/>
  <c r="C28" i="1" s="1"/>
  <c r="B25" i="1"/>
  <c r="B27" i="1" s="1"/>
  <c r="B28" i="1" s="1"/>
  <c r="C21" i="1"/>
  <c r="C22" i="1" s="1"/>
  <c r="B21" i="1"/>
  <c r="B22" i="1" s="1"/>
  <c r="C18" i="1"/>
  <c r="C19" i="1" s="1"/>
  <c r="B18" i="1"/>
  <c r="B19" i="1" s="1"/>
  <c r="B15" i="1"/>
  <c r="C14" i="1"/>
  <c r="B14" i="1"/>
  <c r="C13" i="1"/>
  <c r="B13" i="1"/>
  <c r="C12" i="1"/>
  <c r="B12" i="1"/>
  <c r="C11" i="1"/>
  <c r="C16" i="1" s="1"/>
  <c r="B11" i="1"/>
  <c r="B16" i="1" s="1"/>
  <c r="B23" i="1" s="1"/>
  <c r="C10" i="1"/>
  <c r="B10" i="1"/>
  <c r="C74" i="2"/>
  <c r="E74" i="2" s="1"/>
  <c r="E73" i="2"/>
  <c r="B73" i="2"/>
  <c r="B74" i="2" s="1"/>
  <c r="C70" i="2"/>
  <c r="E70" i="2" s="1"/>
  <c r="E69" i="2"/>
  <c r="B69" i="2"/>
  <c r="D69" i="2" s="1"/>
  <c r="E68" i="2"/>
  <c r="B68" i="2"/>
  <c r="D68" i="2" s="1"/>
  <c r="E67" i="2"/>
  <c r="B67" i="2"/>
  <c r="D67" i="2" s="1"/>
  <c r="E66" i="2"/>
  <c r="B66" i="2"/>
  <c r="D66" i="2" s="1"/>
  <c r="E65" i="2"/>
  <c r="D65" i="2"/>
  <c r="E64" i="2"/>
  <c r="B64" i="2"/>
  <c r="E59" i="2"/>
  <c r="C59" i="2"/>
  <c r="D59" i="2" s="1"/>
  <c r="C58" i="2"/>
  <c r="E58" i="2" s="1"/>
  <c r="C57" i="2"/>
  <c r="B57" i="2"/>
  <c r="D57" i="2" s="1"/>
  <c r="C56" i="2"/>
  <c r="B56" i="2"/>
  <c r="E55" i="2"/>
  <c r="D55" i="2"/>
  <c r="C53" i="2"/>
  <c r="B53" i="2"/>
  <c r="D53" i="2" s="1"/>
  <c r="E52" i="2"/>
  <c r="D52" i="2"/>
  <c r="C52" i="2"/>
  <c r="C51" i="2"/>
  <c r="B51" i="2"/>
  <c r="C50" i="2"/>
  <c r="B50" i="2"/>
  <c r="C49" i="2"/>
  <c r="B49" i="2"/>
  <c r="B54" i="2" s="1"/>
  <c r="C48" i="2"/>
  <c r="E48" i="2" s="1"/>
  <c r="B48" i="2"/>
  <c r="E47" i="2"/>
  <c r="D47" i="2"/>
  <c r="B46" i="2"/>
  <c r="C45" i="2"/>
  <c r="C46" i="2" s="1"/>
  <c r="E46" i="2" s="1"/>
  <c r="E44" i="2"/>
  <c r="D44" i="2"/>
  <c r="C42" i="2"/>
  <c r="C41" i="2"/>
  <c r="E41" i="2" s="1"/>
  <c r="C40" i="2"/>
  <c r="B40" i="2"/>
  <c r="E40" i="2" s="1"/>
  <c r="E39" i="2"/>
  <c r="D39" i="2"/>
  <c r="C37" i="2"/>
  <c r="B37" i="2"/>
  <c r="C36" i="2"/>
  <c r="E36" i="2" s="1"/>
  <c r="C35" i="2"/>
  <c r="B35" i="2"/>
  <c r="E34" i="2"/>
  <c r="D34" i="2"/>
  <c r="B34" i="2"/>
  <c r="E33" i="2"/>
  <c r="D33" i="2"/>
  <c r="C32" i="2"/>
  <c r="C31" i="2"/>
  <c r="E31" i="2" s="1"/>
  <c r="C30" i="2"/>
  <c r="D30" i="2" s="1"/>
  <c r="C29" i="2"/>
  <c r="B29" i="2"/>
  <c r="C28" i="2"/>
  <c r="B28" i="2"/>
  <c r="D28" i="2" s="1"/>
  <c r="C27" i="2"/>
  <c r="E27" i="2" s="1"/>
  <c r="C26" i="2"/>
  <c r="E26" i="2" s="1"/>
  <c r="C25" i="2"/>
  <c r="B25" i="2"/>
  <c r="C24" i="2"/>
  <c r="E24" i="2" s="1"/>
  <c r="C23" i="2"/>
  <c r="E23" i="2" s="1"/>
  <c r="C22" i="2"/>
  <c r="B22" i="2"/>
  <c r="E18" i="2"/>
  <c r="B18" i="2"/>
  <c r="D18" i="2" s="1"/>
  <c r="C16" i="2"/>
  <c r="B16" i="2"/>
  <c r="D16" i="2" s="1"/>
  <c r="C15" i="2"/>
  <c r="C17" i="2" s="1"/>
  <c r="C14" i="2"/>
  <c r="B14" i="2"/>
  <c r="D14" i="2" s="1"/>
  <c r="E13" i="2"/>
  <c r="D13" i="2"/>
  <c r="C12" i="2"/>
  <c r="B12" i="2"/>
  <c r="E11" i="2"/>
  <c r="D11" i="2"/>
  <c r="V11" i="6"/>
  <c r="O15" i="6"/>
  <c r="O14" i="6"/>
  <c r="O13" i="6"/>
  <c r="O12" i="6"/>
  <c r="E25" i="2" l="1"/>
  <c r="B38" i="2"/>
  <c r="E51" i="2"/>
  <c r="B60" i="2"/>
  <c r="B34" i="1"/>
  <c r="C64" i="1"/>
  <c r="E12" i="2"/>
  <c r="D48" i="2"/>
  <c r="C60" i="2"/>
  <c r="E60" i="2" s="1"/>
  <c r="C34" i="1"/>
  <c r="C43" i="1" s="1"/>
  <c r="C37" i="1"/>
  <c r="C23" i="1"/>
  <c r="E37" i="2"/>
  <c r="G42" i="12"/>
  <c r="G56" i="12" s="1"/>
  <c r="I41" i="12"/>
  <c r="J41" i="12" s="1"/>
  <c r="D50" i="2"/>
  <c r="E53" i="2"/>
  <c r="D74" i="2"/>
  <c r="E30" i="2"/>
  <c r="D12" i="2"/>
  <c r="D23" i="2"/>
  <c r="D49" i="2"/>
  <c r="C38" i="2"/>
  <c r="D38" i="2" s="1"/>
  <c r="G34" i="2"/>
  <c r="D41" i="2"/>
  <c r="E57" i="2"/>
  <c r="E14" i="2"/>
  <c r="G25" i="2"/>
  <c r="D25" i="2"/>
  <c r="E29" i="2"/>
  <c r="D37" i="2"/>
  <c r="B70" i="2"/>
  <c r="D70" i="2" s="1"/>
  <c r="E16" i="2"/>
  <c r="D73" i="2"/>
  <c r="E28" i="2"/>
  <c r="D31" i="2"/>
  <c r="D24" i="2"/>
  <c r="E50" i="2"/>
  <c r="B15" i="2"/>
  <c r="D15" i="2" s="1"/>
  <c r="D22" i="2"/>
  <c r="G26" i="2"/>
  <c r="G27" i="2" s="1"/>
  <c r="C43" i="2"/>
  <c r="C71" i="2"/>
  <c r="C75" i="2" s="1"/>
  <c r="E75" i="2" s="1"/>
  <c r="B42" i="12"/>
  <c r="F15" i="12"/>
  <c r="I13" i="12"/>
  <c r="J13" i="12" s="1"/>
  <c r="C44" i="1"/>
  <c r="C56" i="1"/>
  <c r="C57" i="1" s="1"/>
  <c r="C65" i="1" s="1"/>
  <c r="B43" i="1"/>
  <c r="B44" i="1" s="1"/>
  <c r="B56" i="1"/>
  <c r="B57" i="1" s="1"/>
  <c r="B65" i="1" s="1"/>
  <c r="D46" i="2"/>
  <c r="C19" i="2"/>
  <c r="B17" i="2"/>
  <c r="E17" i="2" s="1"/>
  <c r="D51" i="2"/>
  <c r="D58" i="2"/>
  <c r="E22" i="2"/>
  <c r="D32" i="2"/>
  <c r="D42" i="2"/>
  <c r="E49" i="2"/>
  <c r="D56" i="2"/>
  <c r="B61" i="2"/>
  <c r="E71" i="2"/>
  <c r="E32" i="2"/>
  <c r="D35" i="2"/>
  <c r="E42" i="2"/>
  <c r="D45" i="2"/>
  <c r="C54" i="2"/>
  <c r="E54" i="2" s="1"/>
  <c r="E56" i="2"/>
  <c r="D64" i="2"/>
  <c r="E35" i="2"/>
  <c r="D40" i="2"/>
  <c r="B43" i="2"/>
  <c r="E45" i="2"/>
  <c r="D27" i="2"/>
  <c r="D29" i="2"/>
  <c r="D26" i="2"/>
  <c r="D36" i="2"/>
  <c r="E38" i="2" l="1"/>
  <c r="D60" i="2"/>
  <c r="H60" i="2" s="1"/>
  <c r="C61" i="2"/>
  <c r="E61" i="2" s="1"/>
  <c r="H28" i="2"/>
  <c r="E43" i="2"/>
  <c r="D43" i="2"/>
  <c r="H43" i="2" s="1"/>
  <c r="E15" i="2"/>
  <c r="B71" i="2"/>
  <c r="D71" i="2" s="1"/>
  <c r="D54" i="2"/>
  <c r="H54" i="2" s="1"/>
  <c r="B56" i="12"/>
  <c r="F16" i="12"/>
  <c r="I15" i="12"/>
  <c r="J15" i="12" s="1"/>
  <c r="B19" i="2"/>
  <c r="D17" i="2"/>
  <c r="C20" i="2"/>
  <c r="D61" i="2"/>
  <c r="H64" i="2" s="1"/>
  <c r="F66" i="2"/>
  <c r="B75" i="2" l="1"/>
  <c r="D75" i="2" s="1"/>
  <c r="F42" i="12"/>
  <c r="I16" i="12"/>
  <c r="J16" i="12" s="1"/>
  <c r="C62" i="2"/>
  <c r="D19" i="2"/>
  <c r="B20" i="2"/>
  <c r="E19" i="2"/>
  <c r="C81" i="2"/>
  <c r="F56" i="12" l="1"/>
  <c r="I56" i="12" s="1"/>
  <c r="J56" i="12" s="1"/>
  <c r="I42" i="12"/>
  <c r="J42" i="12" s="1"/>
  <c r="C76" i="2"/>
  <c r="B62" i="2"/>
  <c r="D20" i="2"/>
  <c r="E20" i="2"/>
  <c r="B81" i="2"/>
  <c r="D81" i="2" s="1"/>
  <c r="B76" i="2" l="1"/>
  <c r="D76" i="2" s="1"/>
  <c r="D62" i="2"/>
  <c r="E62" i="2"/>
  <c r="E81" i="2"/>
  <c r="H46" i="2"/>
  <c r="E76" i="2" l="1"/>
  <c r="I54" i="6"/>
  <c r="G33" i="2" l="1"/>
  <c r="I55" i="6"/>
  <c r="G35" i="2" l="1"/>
  <c r="H35" i="2" s="1"/>
  <c r="H61" i="2"/>
  <c r="I61" i="2" s="1"/>
  <c r="N23" i="6"/>
  <c r="K38" i="2" l="1"/>
  <c r="H20" i="2"/>
  <c r="O19" i="6"/>
  <c r="H63" i="2" l="1"/>
  <c r="H65" i="2" l="1"/>
  <c r="N15" i="6"/>
  <c r="N14" i="6"/>
  <c r="N13" i="6"/>
  <c r="N12" i="6"/>
  <c r="M23" i="5" l="1"/>
  <c r="M20" i="5"/>
  <c r="M16" i="5"/>
  <c r="M11" i="5"/>
  <c r="L25" i="5"/>
  <c r="M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E19" i="6"/>
  <c r="Q14" i="6"/>
  <c r="Q15" i="6"/>
  <c r="Q13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F30" i="5" s="1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<sst xmlns="http://schemas.openxmlformats.org/spreadsheetml/2006/main" count="328" uniqueCount="242">
  <si>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</si>
  <si>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</si>
  <si>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</si>
  <si>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</si>
  <si>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</si>
  <si>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</si>
  <si>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</si>
  <si>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</si>
  <si>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</si>
  <si>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</si>
  <si>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</si>
  <si>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</si>
  <si>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</si>
  <si>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</si>
  <si>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</si>
  <si>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</si>
  <si>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</si>
  <si>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</si>
  <si>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</si>
  <si>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</si>
  <si>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</si>
  <si>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</si>
  <si>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</si>
  <si>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</si>
  <si>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</si>
  <si>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</si>
  <si>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</si>
  <si>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</si>
  <si>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</si>
  <si>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</si>
  <si>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</si>
  <si>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</si>
  <si>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</si>
  <si>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</si>
  <si>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</si>
  <si>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</si>
  <si>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</si>
  <si>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</si>
  <si>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</si>
  <si>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</si>
  <si>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</si>
  <si>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</si>
  <si>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</si>
  <si>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</si>
  <si>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</si>
  <si>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</si>
  <si>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</si>
  <si>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</si>
  <si>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</si>
  <si>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</si>
  <si>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</si>
  <si>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</si>
  <si>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</si>
  <si>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</si>
  <si>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</si>
  <si>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</si>
  <si>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</si>
  <si>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</si>
  <si>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</si>
  <si>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</si>
  <si>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</si>
  <si>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</si>
  <si>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</si>
  <si>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</si>
  <si>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</si>
  <si>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</si>
  <si>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</si>
  <si>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</si>
  <si>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</si>
  <si>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</si>
  <si>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</si>
  <si>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</si>
  <si>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</si>
  <si>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</si>
  <si>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</si>
  <si>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</si>
  <si>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</si>
  <si>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</si>
  <si>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</si>
  <si>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</si>
  <si>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</si>
  <si>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</si>
  <si>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</si>
  <si>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</si>
  <si>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</si>
  <si>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</si>
  <si>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</si>
  <si>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</si>
  <si>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</si>
  <si>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</si>
  <si>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</si>
  <si>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</si>
  <si>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</si>
  <si>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</si>
  <si>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</si>
  <si>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</si>
  <si>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</si>
  <si>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</si>
  <si>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</si>
  <si>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</si>
  <si>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</si>
  <si>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</si>
  <si>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</si>
  <si>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</si>
  <si>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</si>
  <si>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</si>
  <si>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</si>
  <si>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</si>
  <si>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</si>
  <si>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</si>
  <si>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</si>
  <si>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</si>
  <si>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</si>
  <si>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</si>
  <si>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</si>
  <si>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</si>
  <si>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</si>
  <si>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</si>
  <si>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</si>
  <si>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</si>
  <si>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</si>
  <si>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</si>
  <si>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</si>
  <si>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</si>
  <si>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</si>
  <si>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</si>
  <si>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</si>
  <si>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</si>
  <si>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</si>
  <si>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</si>
  <si>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</si>
  <si>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</si>
  <si>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</si>
  <si>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</si>
  <si>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</si>
  <si>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</si>
  <si>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</si>
  <si>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</si>
  <si>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</si>
  <si>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</si>
  <si>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</si>
  <si>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</si>
  <si>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</si>
  <si>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</si>
  <si>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</si>
  <si>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</si>
  <si>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</si>
  <si>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</si>
  <si>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</si>
  <si>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</si>
  <si>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</si>
  <si>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</si>
  <si>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</si>
  <si>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</si>
  <si>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</si>
  <si>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</si>
  <si>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</si>
  <si>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</si>
  <si>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</si>
  <si>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</si>
  <si>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</si>
  <si>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</si>
  <si>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</si>
  <si>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</si>
  <si>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</si>
  <si>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</si>
  <si>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</si>
  <si>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</si>
  <si>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</si>
  <si>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</si>
  <si>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</si>
  <si>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</si>
  <si>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</si>
  <si>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</si>
  <si>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</si>
  <si>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</si>
  <si>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</si>
  <si>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</si>
  <si>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</si>
  <si>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</si>
  <si>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</si>
  <si>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</si>
  <si>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</si>
  <si>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</si>
  <si>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</si>
  <si>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</si>
  <si>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</si>
  <si>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</si>
  <si>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</si>
  <si>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</si>
  <si>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</si>
  <si>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>Life and Legacy Grinspoon</t>
  </si>
  <si>
    <t>Permanently restricted</t>
  </si>
  <si>
    <t>Temporarily restricted</t>
  </si>
  <si>
    <t>Unrestricted DAF</t>
  </si>
  <si>
    <t>Unrestricted Funds</t>
  </si>
  <si>
    <t>Mgmt &amp; Gen.</t>
  </si>
  <si>
    <t>Prog. Svs. Exp.</t>
  </si>
  <si>
    <t>Netcentric IT Management, Inc.</t>
  </si>
  <si>
    <t>less revenue than budget</t>
  </si>
  <si>
    <t>less expense than budget</t>
  </si>
  <si>
    <t>greater expense than budget</t>
  </si>
  <si>
    <t>A/R Aging Summary</t>
  </si>
  <si>
    <t>Revenue shortfall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</si>
  <si>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</si>
  <si>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</si>
  <si>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</si>
  <si>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</si>
  <si>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</si>
  <si>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</si>
  <si>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Saturday, Jul 15, 2023 03:28:29 PM GMT-7 - Accrual Basis</t>
  </si>
  <si>
    <t>Highlights</t>
  </si>
  <si>
    <t>Assets at the level of 06.30.2021</t>
  </si>
  <si>
    <t>Today</t>
  </si>
  <si>
    <t>$17,000 accrual on the books</t>
  </si>
  <si>
    <t xml:space="preserve">   60000.2 JFedShaw Grinspoon Grant</t>
  </si>
  <si>
    <t>Saturday, Sep 16, 2023 11:07:13 AM GMT-7 - Accrual Basis</t>
  </si>
  <si>
    <t>As of July 31, 2023</t>
  </si>
  <si>
    <t>As of Jul 31, 2023</t>
  </si>
  <si>
    <t>As of Jul 31, 2022 (PY)</t>
  </si>
  <si>
    <t xml:space="preserve">         10060 Northfield Divestment Checking</t>
  </si>
  <si>
    <t>Saturday, Sep 16, 2023 11:06:06 AM GMT-7 - Accrual Basis</t>
  </si>
  <si>
    <t>Asset Summary as of July 31, 2023</t>
  </si>
  <si>
    <t>07.31.2023</t>
  </si>
  <si>
    <t>Permanently Restricted &amp; Temporarily Restricted Funds</t>
  </si>
  <si>
    <t>Fiscal Year 2024</t>
  </si>
  <si>
    <t>FY 2013 - FY 2024</t>
  </si>
  <si>
    <t>09/18/2023</t>
  </si>
  <si>
    <t>payroll</t>
  </si>
  <si>
    <t>Expense less than budget</t>
  </si>
  <si>
    <t>Saturday, Sep 16, 2023 11:09:34 AM GMT-7</t>
  </si>
  <si>
    <t>Fiduciary Technology Partners, LLC</t>
  </si>
  <si>
    <t>Historical Society of Princeton</t>
  </si>
  <si>
    <t>Renaissance Administration</t>
  </si>
  <si>
    <t>Saturday, Sep 16, 2023 11:10:03 AM GMT-7</t>
  </si>
  <si>
    <t>Life and Legacy</t>
  </si>
  <si>
    <t>July 2023</t>
  </si>
  <si>
    <t>Saturday, Sep 16, 2023 11:08:24 AM GMT-7 - Accrual Basis</t>
  </si>
  <si>
    <t>Fixed</t>
  </si>
  <si>
    <t>Variable</t>
  </si>
  <si>
    <t>Savings</t>
  </si>
  <si>
    <t xml:space="preserve">   60000 L&amp;L Event (potential fund raiser)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</si>
</sst>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167" fontId="0" fillId="0" borderId="0" xfId="1" applyNumberFormat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17" fontId="6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 indent="2"/>
    </xf>
    <xf numFmtId="165" fontId="4" fillId="2" borderId="2" xfId="0" applyNumberFormat="1" applyFont="1" applyFill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0" xfId="0" applyFont="1" applyFill="1" applyAlignment="1">
      <alignment horizontal="center"/>
    </xf>
    <xf numFmtId="17" fontId="6" fillId="0" borderId="0" xfId="0" applyNumberFormat="1" applyFont="1" applyAlignment="1">
      <alignment horizontal="center"/>
    </xf>
    <xf numFmtId="0" fontId="24" fillId="0" borderId="0" xfId="0" applyFont="1" applyFill="1"/>
    <xf numFmtId="0" fontId="4" fillId="0" borderId="0" xfId="0" applyFont="1" applyFill="1" applyAlignment="1">
      <alignment horizontal="lef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7" zoomScaleNormal="100" workbookViewId="0">
      <pane xSplit="3" ySplit="2" topLeftCell="M9" activePane="bottomRight" state="frozen"/>
      <selection activeCell="B7" sqref="B7"/>
      <selection pane="topRight" activeCell="E7" sqref="E7"/>
      <selection pane="bottomLeft" activeCell="B9" sqref="B9"/>
      <selection pane="bottomRight" activeCell="M20" sqref="M20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94" t="s">
        <v>132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6" s="36" customFormat="1" ht="26.25" customHeight="1" x14ac:dyDescent="0.2">
      <c r="A2" s="94" t="s">
        <v>133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6" s="36" customFormat="1" ht="26.25" x14ac:dyDescent="0.4">
      <c r="A3" s="95" t="s">
        <v>145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26" s="36" customFormat="1" ht="26.25" x14ac:dyDescent="0.4">
      <c r="A4" s="95" t="s">
        <v>146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26" s="36" customFormat="1" ht="26.25" x14ac:dyDescent="0.2">
      <c r="A5" s="96" t="s">
        <v>134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225</v>
      </c>
      <c r="Q8" s="40" t="s">
        <v>226</v>
      </c>
      <c r="R8" s="41"/>
    </row>
    <row r="9" spans="1:26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  <c r="U10" s="36" t="s">
        <v>211</v>
      </c>
      <c r="V10" s="36" t="s">
        <v>212</v>
      </c>
    </row>
    <row r="11" spans="1:26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U11" s="36" t="s">
        <v>213</v>
      </c>
      <c r="V11" s="58">
        <f>+'Funds and Assets'!H26</f>
        <v>14475699.300000001</v>
      </c>
    </row>
    <row r="12" spans="1:26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140757/10^6</f>
        <v>0.14075699999999999</v>
      </c>
      <c r="Q12" s="52">
        <f>SUM(E12:P12)</f>
        <v>16.51365599</v>
      </c>
      <c r="R12" s="45"/>
      <c r="U12" s="36" t="s">
        <v>214</v>
      </c>
    </row>
    <row r="13" spans="1:26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-62859/10^6</f>
        <v>-6.2858999999999998E-2</v>
      </c>
      <c r="Q13" s="52">
        <f>SUM(E13:P13)</f>
        <v>-14.00394792</v>
      </c>
      <c r="R13" s="45"/>
      <c r="Y13" s="36" t="s">
        <v>160</v>
      </c>
    </row>
    <row r="14" spans="1:26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+(380986)/10^6</f>
        <v>0.38098599999999999</v>
      </c>
      <c r="Q14" s="52">
        <f>SUM(E14:P14)</f>
        <v>7.0387700400000002</v>
      </c>
      <c r="R14" s="45"/>
    </row>
    <row r="15" spans="1:26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-36576/10^6</f>
        <v>-3.6575999999999997E-2</v>
      </c>
      <c r="Q15" s="87">
        <f>SUM(E15:P15)</f>
        <v>-1.1848594300000002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15.143545140000002</v>
      </c>
      <c r="Q17" s="60">
        <f>SUM(Q11:Q15)</f>
        <v>15.143545140000001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0.34440999999999999</v>
      </c>
      <c r="Q19" s="51"/>
      <c r="X19" s="64" t="s">
        <v>164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2.2743023302402222E-2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5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B40"/>
  <sheetViews>
    <sheetView zoomScale="130" zoomScaleNormal="130" workbookViewId="0">
      <selection activeCell="F30" sqref="F30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2.5703125" style="6" customWidth="1"/>
    <col min="9" max="11" width="10.28515625" style="6" customWidth="1"/>
    <col min="12" max="12" width="13.5703125" style="6" bestFit="1" customWidth="1"/>
    <col min="13" max="13" width="13.28515625" style="6" bestFit="1" customWidth="1"/>
    <col min="14" max="18" width="10.28515625" style="6" customWidth="1"/>
    <col min="19" max="19" width="14.28515625" style="6" bestFit="1" customWidth="1"/>
    <col min="20" max="20" width="12.5703125" style="6" customWidth="1"/>
    <col min="21" max="21" width="11.28515625" style="6" bestFit="1" customWidth="1"/>
    <col min="22" max="23" width="9.140625" style="6"/>
    <col min="24" max="24" width="16.5703125" style="6" customWidth="1"/>
    <col min="25" max="25" width="15.7109375" style="6" customWidth="1"/>
    <col min="26" max="26" width="16.85546875" style="6" customWidth="1"/>
    <col min="27" max="16384" width="9.140625" style="6"/>
  </cols>
  <sheetData>
    <row r="1" spans="2:28" ht="18" customHeight="1" x14ac:dyDescent="0.25">
      <c r="B1" s="97" t="s">
        <v>132</v>
      </c>
      <c r="C1" s="97"/>
      <c r="D1" s="97"/>
      <c r="E1" s="97"/>
      <c r="F1" s="97"/>
    </row>
    <row r="2" spans="2:28" ht="21" x14ac:dyDescent="0.25">
      <c r="B2" s="97" t="s">
        <v>133</v>
      </c>
      <c r="C2" s="97"/>
      <c r="D2" s="97"/>
      <c r="E2" s="97"/>
      <c r="F2" s="97"/>
    </row>
    <row r="3" spans="2:28" ht="21" customHeight="1" x14ac:dyDescent="0.25">
      <c r="B3" s="97" t="s">
        <v>222</v>
      </c>
      <c r="C3" s="97"/>
      <c r="D3" s="97"/>
      <c r="E3" s="97"/>
      <c r="F3" s="97"/>
    </row>
    <row r="4" spans="2:28" ht="18" customHeight="1" x14ac:dyDescent="0.25">
      <c r="B4" s="97" t="s">
        <v>134</v>
      </c>
      <c r="C4" s="97"/>
      <c r="D4" s="97"/>
      <c r="E4" s="97"/>
      <c r="F4" s="97"/>
    </row>
    <row r="6" spans="2:28" ht="12.95" customHeight="1" x14ac:dyDescent="0.25">
      <c r="D6" s="7"/>
      <c r="E6" s="8"/>
      <c r="F6" s="9"/>
      <c r="L6" s="6" t="s">
        <v>184</v>
      </c>
    </row>
    <row r="7" spans="2:28" ht="12.95" customHeight="1" x14ac:dyDescent="0.25">
      <c r="D7" s="7"/>
      <c r="E7" s="8"/>
      <c r="F7" s="10"/>
    </row>
    <row r="8" spans="2:28" ht="12.95" hidden="1" customHeight="1" x14ac:dyDescent="0.25">
      <c r="D8" s="7"/>
      <c r="E8" s="8"/>
      <c r="F8" s="9"/>
      <c r="V8"/>
      <c r="W8"/>
      <c r="X8"/>
      <c r="Y8"/>
      <c r="Z8"/>
      <c r="AA8"/>
    </row>
    <row r="9" spans="2:28" ht="12.95" customHeight="1" x14ac:dyDescent="0.25">
      <c r="C9" s="11"/>
      <c r="D9" s="12"/>
      <c r="E9" s="13"/>
      <c r="F9" s="14" t="s">
        <v>223</v>
      </c>
      <c r="L9" s="6" t="s">
        <v>183</v>
      </c>
      <c r="M9" s="6" t="s">
        <v>181</v>
      </c>
      <c r="V9"/>
      <c r="W9"/>
      <c r="X9"/>
      <c r="Y9"/>
      <c r="Z9"/>
      <c r="AA9"/>
    </row>
    <row r="10" spans="2:28" ht="12.95" customHeight="1" x14ac:dyDescent="0.25">
      <c r="B10" s="15" t="s">
        <v>135</v>
      </c>
      <c r="C10" s="11"/>
      <c r="D10" s="12"/>
      <c r="E10" s="13"/>
      <c r="F10" s="16"/>
      <c r="V10"/>
      <c r="W10"/>
      <c r="X10"/>
      <c r="Y10"/>
      <c r="Z10"/>
      <c r="AA10"/>
      <c r="AB10" s="17"/>
    </row>
    <row r="11" spans="2:28" ht="12.95" customHeight="1" x14ac:dyDescent="0.25">
      <c r="B11" s="18" t="s">
        <v>136</v>
      </c>
      <c r="D11" s="19"/>
      <c r="E11" s="13"/>
      <c r="F11" s="20">
        <v>4619965.93</v>
      </c>
      <c r="L11" s="21">
        <v>3201659</v>
      </c>
      <c r="M11" s="21">
        <f>+F11-L11</f>
        <v>1418306.9299999997</v>
      </c>
      <c r="S11" s="21"/>
      <c r="V11"/>
      <c r="W11"/>
      <c r="X11"/>
      <c r="Y11"/>
      <c r="Z11"/>
      <c r="AA11"/>
      <c r="AB11" s="22"/>
    </row>
    <row r="12" spans="2:28" ht="12.95" hidden="1" customHeight="1" x14ac:dyDescent="0.25">
      <c r="D12" s="23"/>
      <c r="F12" s="16"/>
      <c r="L12" s="21"/>
      <c r="S12" s="21"/>
      <c r="V12"/>
      <c r="W12"/>
      <c r="X12"/>
      <c r="Y12"/>
      <c r="Z12"/>
      <c r="AA12"/>
      <c r="AB12" s="22"/>
    </row>
    <row r="13" spans="2:28" ht="12.95" customHeight="1" x14ac:dyDescent="0.25">
      <c r="D13" s="23"/>
      <c r="F13" s="16"/>
      <c r="L13" s="21"/>
      <c r="S13" s="21"/>
      <c r="V13"/>
      <c r="W13"/>
      <c r="X13"/>
      <c r="Y13"/>
      <c r="Z13"/>
      <c r="AA13"/>
      <c r="AB13" s="22"/>
    </row>
    <row r="14" spans="2:28" ht="12.95" customHeight="1" x14ac:dyDescent="0.25">
      <c r="B14" s="15" t="s">
        <v>224</v>
      </c>
      <c r="D14" s="23"/>
      <c r="F14" s="24"/>
      <c r="L14" s="21"/>
      <c r="S14" s="21"/>
      <c r="V14"/>
      <c r="W14"/>
      <c r="X14"/>
      <c r="Y14"/>
      <c r="Z14"/>
      <c r="AA14"/>
    </row>
    <row r="15" spans="2:28" ht="12.95" hidden="1" customHeight="1" x14ac:dyDescent="0.25">
      <c r="D15" s="23"/>
      <c r="F15" s="16"/>
      <c r="L15" s="21"/>
      <c r="S15" s="21"/>
      <c r="V15"/>
      <c r="W15"/>
      <c r="X15"/>
      <c r="Y15"/>
      <c r="Z15"/>
      <c r="AA15"/>
    </row>
    <row r="16" spans="2:28" ht="12.95" customHeight="1" x14ac:dyDescent="0.25">
      <c r="B16" s="18" t="s">
        <v>137</v>
      </c>
      <c r="C16" s="18"/>
      <c r="D16" s="23"/>
      <c r="F16" s="16">
        <v>5616523.4900000002</v>
      </c>
      <c r="G16" s="25"/>
      <c r="H16" s="25"/>
      <c r="I16" s="25"/>
      <c r="J16" s="25"/>
      <c r="K16" s="25"/>
      <c r="L16" s="25">
        <v>7176043</v>
      </c>
      <c r="M16" s="21">
        <f>+F16-L16</f>
        <v>-1559519.5099999998</v>
      </c>
      <c r="N16" s="25"/>
      <c r="O16" s="25"/>
      <c r="P16" s="25"/>
      <c r="Q16" s="25"/>
      <c r="R16" s="25"/>
      <c r="S16" s="21"/>
      <c r="T16" s="26"/>
      <c r="V16"/>
      <c r="W16"/>
      <c r="X16"/>
      <c r="Y16"/>
      <c r="Z16"/>
      <c r="AA16"/>
    </row>
    <row r="17" spans="2:27" ht="12.95" hidden="1" customHeight="1" x14ac:dyDescent="0.25">
      <c r="D17" s="23"/>
      <c r="F17" s="16"/>
      <c r="L17" s="21"/>
      <c r="V17"/>
      <c r="W17"/>
      <c r="X17"/>
      <c r="Y17"/>
      <c r="Z17"/>
      <c r="AA17"/>
    </row>
    <row r="18" spans="2:27" ht="12.95" customHeight="1" x14ac:dyDescent="0.25">
      <c r="D18" s="21"/>
      <c r="F18" s="16"/>
      <c r="L18" s="21"/>
    </row>
    <row r="19" spans="2:27" ht="12.95" hidden="1" customHeight="1" x14ac:dyDescent="0.25">
      <c r="F19" s="16"/>
      <c r="L19" s="21"/>
    </row>
    <row r="20" spans="2:27" ht="12.95" customHeight="1" x14ac:dyDescent="0.25">
      <c r="B20" s="15" t="s">
        <v>179</v>
      </c>
      <c r="F20" s="27">
        <v>4635222.13</v>
      </c>
      <c r="L20" s="21">
        <v>4752663</v>
      </c>
      <c r="M20" s="21">
        <f>+F20-L20</f>
        <v>-117440.87000000011</v>
      </c>
    </row>
    <row r="21" spans="2:27" ht="12.95" hidden="1" customHeight="1" x14ac:dyDescent="0.25">
      <c r="F21" s="28"/>
      <c r="L21" s="21"/>
    </row>
    <row r="22" spans="2:27" ht="12.95" customHeight="1" x14ac:dyDescent="0.25">
      <c r="F22" s="28"/>
      <c r="L22" s="21"/>
    </row>
    <row r="23" spans="2:27" ht="12.95" customHeight="1" x14ac:dyDescent="0.25">
      <c r="B23" s="15" t="s">
        <v>138</v>
      </c>
      <c r="F23" s="29">
        <v>336565.11</v>
      </c>
      <c r="L23" s="83">
        <v>496286</v>
      </c>
      <c r="M23" s="83">
        <f>+F23-L23</f>
        <v>-159720.89000000001</v>
      </c>
    </row>
    <row r="24" spans="2:27" ht="12.95" customHeight="1" x14ac:dyDescent="0.25">
      <c r="B24" s="15"/>
      <c r="T24" s="30"/>
    </row>
    <row r="25" spans="2:27" ht="15.75" thickBot="1" x14ac:dyDescent="0.3">
      <c r="B25" s="15" t="s">
        <v>139</v>
      </c>
      <c r="F25" s="31">
        <f>SUM(F11:F24)</f>
        <v>15208276.66</v>
      </c>
      <c r="H25" s="79" t="s">
        <v>227</v>
      </c>
      <c r="L25" s="31">
        <f>SUM(L11:L24)</f>
        <v>15626651</v>
      </c>
      <c r="M25" s="31">
        <f>SUM(M11:M24)</f>
        <v>-418374.3400000002</v>
      </c>
    </row>
    <row r="26" spans="2:27" ht="15.75" thickTop="1" x14ac:dyDescent="0.25">
      <c r="B26" s="15"/>
      <c r="F26" s="32"/>
      <c r="H26" s="91">
        <v>14475699.300000001</v>
      </c>
    </row>
    <row r="27" spans="2:27" x14ac:dyDescent="0.25">
      <c r="B27" s="15"/>
      <c r="F27" s="32"/>
      <c r="H27" s="92"/>
    </row>
    <row r="28" spans="2:27" x14ac:dyDescent="0.25">
      <c r="B28" s="15"/>
      <c r="F28" s="32"/>
    </row>
    <row r="29" spans="2:27" x14ac:dyDescent="0.25">
      <c r="B29" s="15"/>
      <c r="F29" s="21"/>
    </row>
    <row r="30" spans="2:27" x14ac:dyDescent="0.25">
      <c r="D30" s="6" t="s">
        <v>140</v>
      </c>
      <c r="F30" s="30">
        <f>+F25-F23</f>
        <v>14871711.550000001</v>
      </c>
    </row>
    <row r="32" spans="2:27" x14ac:dyDescent="0.25">
      <c r="F32" s="33"/>
      <c r="S32" s="34"/>
    </row>
    <row r="33" spans="4:28" x14ac:dyDescent="0.25">
      <c r="D33" s="79"/>
      <c r="F33" s="35"/>
    </row>
    <row r="34" spans="4:28" x14ac:dyDescent="0.25">
      <c r="F34" s="35"/>
      <c r="AB34" s="6" t="s">
        <v>141</v>
      </c>
    </row>
    <row r="35" spans="4:28" x14ac:dyDescent="0.25">
      <c r="F35" s="35"/>
      <c r="AB35" s="6" t="s">
        <v>142</v>
      </c>
    </row>
    <row r="36" spans="4:28" x14ac:dyDescent="0.25">
      <c r="F36" s="35"/>
      <c r="AB36" s="6" t="s">
        <v>143</v>
      </c>
    </row>
    <row r="37" spans="4:28" x14ac:dyDescent="0.25">
      <c r="F37" s="35"/>
      <c r="AB37" s="6" t="s">
        <v>144</v>
      </c>
    </row>
    <row r="38" spans="4:28" x14ac:dyDescent="0.25">
      <c r="F38" s="25"/>
    </row>
    <row r="39" spans="4:28" x14ac:dyDescent="0.25">
      <c r="F39" s="25"/>
    </row>
    <row r="40" spans="4:28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workbookViewId="0">
      <pane xSplit="1" ySplit="5" topLeftCell="B28" activePane="bottomRight" state="frozen"/>
      <selection pane="topRight" activeCell="B1" sqref="B1"/>
      <selection pane="bottomLeft" activeCell="A6" sqref="A6"/>
      <selection pane="bottomRight" activeCell="B54" sqref="B54"/>
    </sheetView>
  </sheetViews>
  <sheetFormatPr defaultRowHeight="15" x14ac:dyDescent="0.25"/>
  <cols>
    <col min="1" max="1" width="43.85546875" customWidth="1"/>
    <col min="2" max="2" width="24.85546875" customWidth="1"/>
    <col min="3" max="3" width="12.5703125" bestFit="1" customWidth="1"/>
  </cols>
  <sheetData>
    <row r="1" spans="1:3" ht="18" x14ac:dyDescent="0.25">
      <c r="A1" s="100" t="s">
        <v>59</v>
      </c>
      <c r="B1" s="99"/>
    </row>
    <row r="2" spans="1:3" ht="18" x14ac:dyDescent="0.25">
      <c r="A2" s="100" t="s">
        <v>60</v>
      </c>
      <c r="B2" s="99"/>
    </row>
    <row r="3" spans="1:3" x14ac:dyDescent="0.25">
      <c r="A3" s="101" t="s">
        <v>217</v>
      </c>
      <c r="B3" s="99"/>
      <c r="C3" s="99"/>
    </row>
    <row r="5" spans="1:3" x14ac:dyDescent="0.25">
      <c r="A5" s="1"/>
      <c r="B5" s="102" t="s">
        <v>0</v>
      </c>
      <c r="C5" s="103"/>
    </row>
    <row r="6" spans="1:3" ht="24.75" x14ac:dyDescent="0.25">
      <c r="A6" s="1"/>
      <c r="B6" s="84" t="s">
        <v>218</v>
      </c>
      <c r="C6" s="84" t="s">
        <v>219</v>
      </c>
    </row>
    <row r="7" spans="1:3" x14ac:dyDescent="0.25">
      <c r="A7" s="3" t="s">
        <v>1</v>
      </c>
      <c r="B7" s="2"/>
      <c r="C7" s="2"/>
    </row>
    <row r="8" spans="1:3" x14ac:dyDescent="0.25">
      <c r="A8" s="3" t="s">
        <v>2</v>
      </c>
      <c r="B8" s="2"/>
      <c r="C8" s="2"/>
    </row>
    <row r="9" spans="1:3" x14ac:dyDescent="0.25">
      <c r="A9" s="3" t="s">
        <v>3</v>
      </c>
      <c r="B9" s="2"/>
      <c r="C9" s="2"/>
    </row>
    <row r="10" spans="1:3" x14ac:dyDescent="0.25">
      <c r="A10" s="3" t="s">
        <v>4</v>
      </c>
      <c r="B10" s="5">
        <f>0</f>
        <v>0</v>
      </c>
      <c r="C10" s="5">
        <f>0</f>
        <v>0</v>
      </c>
    </row>
    <row r="11" spans="1:3" x14ac:dyDescent="0.25">
      <c r="A11" s="3" t="s">
        <v>5</v>
      </c>
      <c r="B11" s="5">
        <f>211.71</f>
        <v>211.71</v>
      </c>
      <c r="C11" s="5">
        <f>5011.71</f>
        <v>5011.71</v>
      </c>
    </row>
    <row r="12" spans="1:3" x14ac:dyDescent="0.25">
      <c r="A12" s="3" t="s">
        <v>6</v>
      </c>
      <c r="B12" s="5">
        <f>6388.97</f>
        <v>6388.97</v>
      </c>
      <c r="C12" s="5">
        <f>5533.48</f>
        <v>5533.48</v>
      </c>
    </row>
    <row r="13" spans="1:3" x14ac:dyDescent="0.25">
      <c r="A13" s="3" t="s">
        <v>7</v>
      </c>
      <c r="B13" s="5">
        <f>52834.74</f>
        <v>52834.74</v>
      </c>
      <c r="C13" s="5">
        <f>183.68</f>
        <v>183.68</v>
      </c>
    </row>
    <row r="14" spans="1:3" x14ac:dyDescent="0.25">
      <c r="A14" s="3" t="s">
        <v>8</v>
      </c>
      <c r="B14" s="5">
        <f>2054.37</f>
        <v>2054.37</v>
      </c>
      <c r="C14" s="5">
        <f>551.93</f>
        <v>551.92999999999995</v>
      </c>
    </row>
    <row r="15" spans="1:3" x14ac:dyDescent="0.25">
      <c r="A15" s="3" t="s">
        <v>220</v>
      </c>
      <c r="B15" s="5">
        <f>50</f>
        <v>50</v>
      </c>
      <c r="C15" s="2"/>
    </row>
    <row r="16" spans="1:3" x14ac:dyDescent="0.25">
      <c r="A16" s="3" t="s">
        <v>9</v>
      </c>
      <c r="B16" s="4">
        <f>(((((B10)+(B11))+(B12))+(B13))+(B14))+(B15)</f>
        <v>61539.79</v>
      </c>
      <c r="C16" s="4">
        <f>(((((C10)+(C11))+(C12))+(C13))+(C14))+(C15)</f>
        <v>11280.8</v>
      </c>
    </row>
    <row r="17" spans="1:3" x14ac:dyDescent="0.25">
      <c r="A17" s="3" t="s">
        <v>10</v>
      </c>
      <c r="B17" s="2"/>
      <c r="C17" s="2"/>
    </row>
    <row r="18" spans="1:3" x14ac:dyDescent="0.25">
      <c r="A18" s="3" t="s">
        <v>11</v>
      </c>
      <c r="B18" s="5">
        <f>4166.67</f>
        <v>4166.67</v>
      </c>
      <c r="C18" s="5">
        <f>3333.34</f>
        <v>3333.34</v>
      </c>
    </row>
    <row r="19" spans="1:3" x14ac:dyDescent="0.25">
      <c r="A19" s="3" t="s">
        <v>12</v>
      </c>
      <c r="B19" s="4">
        <f>B18</f>
        <v>4166.67</v>
      </c>
      <c r="C19" s="4">
        <f>C18</f>
        <v>3333.34</v>
      </c>
    </row>
    <row r="20" spans="1:3" x14ac:dyDescent="0.25">
      <c r="A20" s="3" t="s">
        <v>13</v>
      </c>
      <c r="B20" s="2"/>
      <c r="C20" s="2"/>
    </row>
    <row r="21" spans="1:3" x14ac:dyDescent="0.25">
      <c r="A21" s="3" t="s">
        <v>14</v>
      </c>
      <c r="B21" s="5">
        <f>0</f>
        <v>0</v>
      </c>
      <c r="C21" s="5">
        <f>0</f>
        <v>0</v>
      </c>
    </row>
    <row r="22" spans="1:3" x14ac:dyDescent="0.25">
      <c r="A22" s="3" t="s">
        <v>15</v>
      </c>
      <c r="B22" s="4">
        <f>B21</f>
        <v>0</v>
      </c>
      <c r="C22" s="4">
        <f>C21</f>
        <v>0</v>
      </c>
    </row>
    <row r="23" spans="1:3" x14ac:dyDescent="0.25">
      <c r="A23" s="3" t="s">
        <v>16</v>
      </c>
      <c r="B23" s="4">
        <f>((B16)+(B19))+(B22)</f>
        <v>65706.460000000006</v>
      </c>
      <c r="C23" s="4">
        <f>((C16)+(C19))+(C22)</f>
        <v>14614.14</v>
      </c>
    </row>
    <row r="24" spans="1:3" x14ac:dyDescent="0.25">
      <c r="A24" s="3" t="s">
        <v>17</v>
      </c>
      <c r="B24" s="2"/>
      <c r="C24" s="2"/>
    </row>
    <row r="25" spans="1:3" x14ac:dyDescent="0.25">
      <c r="A25" s="3" t="s">
        <v>18</v>
      </c>
      <c r="B25" s="5">
        <f>2328.97</f>
        <v>2328.9699999999998</v>
      </c>
      <c r="C25" s="5">
        <f>2328.97</f>
        <v>2328.9699999999998</v>
      </c>
    </row>
    <row r="26" spans="1:3" x14ac:dyDescent="0.25">
      <c r="A26" s="3" t="s">
        <v>19</v>
      </c>
      <c r="B26" s="5">
        <f>-2328.97</f>
        <v>-2328.9699999999998</v>
      </c>
      <c r="C26" s="5">
        <f>-1875.89</f>
        <v>-1875.89</v>
      </c>
    </row>
    <row r="27" spans="1:3" x14ac:dyDescent="0.25">
      <c r="A27" s="3" t="s">
        <v>20</v>
      </c>
      <c r="B27" s="4">
        <f>(B25)+(B26)</f>
        <v>0</v>
      </c>
      <c r="C27" s="4">
        <f>(C25)+(C26)</f>
        <v>453.0799999999997</v>
      </c>
    </row>
    <row r="28" spans="1:3" x14ac:dyDescent="0.25">
      <c r="A28" s="3" t="s">
        <v>21</v>
      </c>
      <c r="B28" s="4">
        <f>B27</f>
        <v>0</v>
      </c>
      <c r="C28" s="4">
        <f>C27</f>
        <v>453.0799999999997</v>
      </c>
    </row>
    <row r="29" spans="1:3" x14ac:dyDescent="0.25">
      <c r="A29" s="3" t="s">
        <v>22</v>
      </c>
      <c r="B29" s="2"/>
      <c r="C29" s="2"/>
    </row>
    <row r="30" spans="1:3" x14ac:dyDescent="0.25">
      <c r="A30" s="3" t="s">
        <v>23</v>
      </c>
      <c r="B30" s="5">
        <f>0</f>
        <v>0</v>
      </c>
      <c r="C30" s="5">
        <f>0</f>
        <v>0</v>
      </c>
    </row>
    <row r="31" spans="1:3" x14ac:dyDescent="0.25">
      <c r="A31" s="3" t="s">
        <v>24</v>
      </c>
      <c r="B31" s="5">
        <f>10654306.34</f>
        <v>10654306.34</v>
      </c>
      <c r="C31" s="5">
        <f>10039275.69</f>
        <v>10039275.689999999</v>
      </c>
    </row>
    <row r="32" spans="1:3" x14ac:dyDescent="0.25">
      <c r="A32" s="3" t="s">
        <v>25</v>
      </c>
      <c r="B32" s="5">
        <f>4561482.95</f>
        <v>4561482.95</v>
      </c>
      <c r="C32" s="5">
        <f>4150424.34</f>
        <v>4150424.34</v>
      </c>
    </row>
    <row r="33" spans="1:3" x14ac:dyDescent="0.25">
      <c r="A33" s="3" t="s">
        <v>26</v>
      </c>
      <c r="B33" s="5">
        <f>6767.37</f>
        <v>6767.37</v>
      </c>
      <c r="C33" s="5">
        <f>6767.37</f>
        <v>6767.37</v>
      </c>
    </row>
    <row r="34" spans="1:3" x14ac:dyDescent="0.25">
      <c r="A34" s="3" t="s">
        <v>27</v>
      </c>
      <c r="B34" s="4">
        <f>(((B30)+(B31))+(B32))+(B33)</f>
        <v>15222556.659999998</v>
      </c>
      <c r="C34" s="4">
        <f>(((C30)+(C31))+(C32))+(C33)</f>
        <v>14196467.399999999</v>
      </c>
    </row>
    <row r="35" spans="1:3" x14ac:dyDescent="0.25">
      <c r="A35" s="3" t="s">
        <v>28</v>
      </c>
      <c r="B35" s="5">
        <f>7671</f>
        <v>7671</v>
      </c>
      <c r="C35" s="5">
        <f>-2329</f>
        <v>-2329</v>
      </c>
    </row>
    <row r="36" spans="1:3" x14ac:dyDescent="0.25">
      <c r="A36" s="3" t="s">
        <v>29</v>
      </c>
      <c r="B36" s="5">
        <f>1876</f>
        <v>1876</v>
      </c>
      <c r="C36" s="5">
        <f>1876</f>
        <v>1876</v>
      </c>
    </row>
    <row r="37" spans="1:3" x14ac:dyDescent="0.25">
      <c r="A37" s="3" t="s">
        <v>30</v>
      </c>
      <c r="B37" s="4">
        <f>(B35)+(B36)</f>
        <v>9547</v>
      </c>
      <c r="C37" s="4">
        <f>(C35)+(C36)</f>
        <v>-453</v>
      </c>
    </row>
    <row r="38" spans="1:3" x14ac:dyDescent="0.25">
      <c r="A38" s="3" t="s">
        <v>31</v>
      </c>
      <c r="B38" s="5">
        <f>70214.89</f>
        <v>70214.89</v>
      </c>
      <c r="C38" s="5">
        <f>70214.89</f>
        <v>70214.89</v>
      </c>
    </row>
    <row r="39" spans="1:3" x14ac:dyDescent="0.25">
      <c r="A39" s="3" t="s">
        <v>32</v>
      </c>
      <c r="B39" s="5">
        <f>4399.69</f>
        <v>4399.6899999999996</v>
      </c>
      <c r="C39" s="5">
        <f>4399.69</f>
        <v>4399.6899999999996</v>
      </c>
    </row>
    <row r="40" spans="1:3" x14ac:dyDescent="0.25">
      <c r="A40" s="3" t="s">
        <v>33</v>
      </c>
      <c r="B40" s="5">
        <f>0</f>
        <v>0</v>
      </c>
      <c r="C40" s="5">
        <f>0</f>
        <v>0</v>
      </c>
    </row>
    <row r="41" spans="1:3" x14ac:dyDescent="0.25">
      <c r="A41" s="3" t="s">
        <v>34</v>
      </c>
      <c r="B41" s="5">
        <f>0</f>
        <v>0</v>
      </c>
      <c r="C41" s="5">
        <f>0</f>
        <v>0</v>
      </c>
    </row>
    <row r="42" spans="1:3" x14ac:dyDescent="0.25">
      <c r="A42" s="3" t="s">
        <v>35</v>
      </c>
      <c r="B42" s="5">
        <f>0</f>
        <v>0</v>
      </c>
      <c r="C42" s="5">
        <f>0</f>
        <v>0</v>
      </c>
    </row>
    <row r="43" spans="1:3" x14ac:dyDescent="0.25">
      <c r="A43" s="3" t="s">
        <v>36</v>
      </c>
      <c r="B43" s="4">
        <f>((((((B34)+(B37))+(B38))+(B39))+(B40))+(B41))+(B42)</f>
        <v>15306718.239999998</v>
      </c>
      <c r="C43" s="4">
        <f>((((((C34)+(C37))+(C38))+(C39))+(C40))+(C41))+(C42)</f>
        <v>14270628.979999999</v>
      </c>
    </row>
    <row r="44" spans="1:3" x14ac:dyDescent="0.25">
      <c r="A44" s="3" t="s">
        <v>37</v>
      </c>
      <c r="B44" s="4">
        <f>((B23)+(B28))+(B43)</f>
        <v>15372424.699999999</v>
      </c>
      <c r="C44" s="4">
        <f>((C23)+(C28))+(C43)</f>
        <v>14285696.199999999</v>
      </c>
    </row>
    <row r="45" spans="1:3" x14ac:dyDescent="0.25">
      <c r="A45" s="3" t="s">
        <v>38</v>
      </c>
      <c r="B45" s="2"/>
      <c r="C45" s="2"/>
    </row>
    <row r="46" spans="1:3" x14ac:dyDescent="0.25">
      <c r="A46" s="3" t="s">
        <v>39</v>
      </c>
      <c r="B46" s="2"/>
      <c r="C46" s="2"/>
    </row>
    <row r="47" spans="1:3" x14ac:dyDescent="0.25">
      <c r="A47" s="3" t="s">
        <v>40</v>
      </c>
      <c r="B47" s="2"/>
      <c r="C47" s="2"/>
    </row>
    <row r="48" spans="1:3" x14ac:dyDescent="0.25">
      <c r="A48" s="3" t="s">
        <v>41</v>
      </c>
      <c r="B48" s="2"/>
      <c r="C48" s="2"/>
    </row>
    <row r="49" spans="1:3" x14ac:dyDescent="0.25">
      <c r="A49" s="3" t="s">
        <v>42</v>
      </c>
      <c r="B49" s="5">
        <f>12562.04</f>
        <v>12562.04</v>
      </c>
      <c r="C49" s="5">
        <f>4595.13</f>
        <v>4595.13</v>
      </c>
    </row>
    <row r="50" spans="1:3" x14ac:dyDescent="0.25">
      <c r="A50" s="3" t="s">
        <v>43</v>
      </c>
      <c r="B50" s="4">
        <f>B49</f>
        <v>12562.04</v>
      </c>
      <c r="C50" s="4">
        <f>C49</f>
        <v>4595.13</v>
      </c>
    </row>
    <row r="51" spans="1:3" x14ac:dyDescent="0.25">
      <c r="A51" s="3" t="s">
        <v>44</v>
      </c>
      <c r="B51" s="2"/>
      <c r="C51" s="2"/>
    </row>
    <row r="52" spans="1:3" x14ac:dyDescent="0.25">
      <c r="A52" s="3" t="s">
        <v>45</v>
      </c>
      <c r="B52" s="5">
        <f>0</f>
        <v>0</v>
      </c>
      <c r="C52" s="5">
        <f>0</f>
        <v>0</v>
      </c>
    </row>
    <row r="53" spans="1:3" x14ac:dyDescent="0.25">
      <c r="A53" s="3" t="s">
        <v>46</v>
      </c>
      <c r="B53" s="5">
        <f>8500</f>
        <v>8500</v>
      </c>
      <c r="C53" s="5">
        <f>24161.06</f>
        <v>24161.06</v>
      </c>
    </row>
    <row r="54" spans="1:3" x14ac:dyDescent="0.25">
      <c r="A54" s="3" t="s">
        <v>47</v>
      </c>
      <c r="B54" s="5">
        <f>4566353.69</f>
        <v>4566353.6900000004</v>
      </c>
      <c r="C54" s="5">
        <f>4155295.08</f>
        <v>4155295.08</v>
      </c>
    </row>
    <row r="55" spans="1:3" x14ac:dyDescent="0.25">
      <c r="A55" s="3" t="s">
        <v>48</v>
      </c>
      <c r="B55" s="4">
        <f>((B52)+(B53))+(B54)</f>
        <v>4574853.6900000004</v>
      </c>
      <c r="C55" s="4">
        <f>((C52)+(C53))+(C54)</f>
        <v>4179456.14</v>
      </c>
    </row>
    <row r="56" spans="1:3" x14ac:dyDescent="0.25">
      <c r="A56" s="3" t="s">
        <v>49</v>
      </c>
      <c r="B56" s="4">
        <f>(B50)+(B55)</f>
        <v>4587415.7300000004</v>
      </c>
      <c r="C56" s="4">
        <f>(C50)+(C55)</f>
        <v>4184051.27</v>
      </c>
    </row>
    <row r="57" spans="1:3" x14ac:dyDescent="0.25">
      <c r="A57" s="3" t="s">
        <v>50</v>
      </c>
      <c r="B57" s="4">
        <f>B56</f>
        <v>4587415.7300000004</v>
      </c>
      <c r="C57" s="4">
        <f>C56</f>
        <v>4184051.27</v>
      </c>
    </row>
    <row r="58" spans="1:3" x14ac:dyDescent="0.25">
      <c r="A58" s="3" t="s">
        <v>51</v>
      </c>
      <c r="B58" s="2"/>
      <c r="C58" s="2"/>
    </row>
    <row r="59" spans="1:3" x14ac:dyDescent="0.25">
      <c r="A59" s="3" t="s">
        <v>52</v>
      </c>
      <c r="B59" s="5">
        <f>3800186.96</f>
        <v>3800186.96</v>
      </c>
      <c r="C59" s="5">
        <f>3800186.96</f>
        <v>3800186.96</v>
      </c>
    </row>
    <row r="60" spans="1:3" x14ac:dyDescent="0.25">
      <c r="A60" s="3" t="s">
        <v>53</v>
      </c>
      <c r="B60" s="5">
        <f>4629794.91</f>
        <v>4629794.91</v>
      </c>
      <c r="C60" s="5">
        <f>4629794.91</f>
        <v>4629794.91</v>
      </c>
    </row>
    <row r="61" spans="1:3" x14ac:dyDescent="0.25">
      <c r="A61" s="3" t="s">
        <v>54</v>
      </c>
      <c r="B61" s="5">
        <f>761386.07</f>
        <v>761386.07</v>
      </c>
      <c r="C61" s="5">
        <f>761386.07</f>
        <v>761386.07</v>
      </c>
    </row>
    <row r="62" spans="1:3" x14ac:dyDescent="0.25">
      <c r="A62" s="3" t="s">
        <v>55</v>
      </c>
      <c r="B62" s="5">
        <f>1302529.31</f>
        <v>1302529.31</v>
      </c>
      <c r="C62" s="5">
        <f>400842.21</f>
        <v>400842.21</v>
      </c>
    </row>
    <row r="63" spans="1:3" x14ac:dyDescent="0.25">
      <c r="A63" s="3" t="s">
        <v>56</v>
      </c>
      <c r="B63" s="5">
        <f>291111.72</f>
        <v>291111.71999999997</v>
      </c>
      <c r="C63" s="5">
        <f>509434.78</f>
        <v>509434.78</v>
      </c>
    </row>
    <row r="64" spans="1:3" x14ac:dyDescent="0.25">
      <c r="A64" s="3" t="s">
        <v>57</v>
      </c>
      <c r="B64" s="4">
        <f>((((B59)+(B60))+(B61))+(B62))+(B63)</f>
        <v>10785008.970000003</v>
      </c>
      <c r="C64" s="4">
        <f>((((C59)+(C60))+(C61))+(C62))+(C63)</f>
        <v>10101644.930000002</v>
      </c>
    </row>
    <row r="65" spans="1:3" x14ac:dyDescent="0.25">
      <c r="A65" s="3" t="s">
        <v>58</v>
      </c>
      <c r="B65" s="4">
        <f>(B57)+(B64)</f>
        <v>15372424.700000003</v>
      </c>
      <c r="C65" s="4">
        <f>(C57)+(C64)</f>
        <v>14285696.200000001</v>
      </c>
    </row>
    <row r="66" spans="1:3" x14ac:dyDescent="0.25">
      <c r="A66" s="3"/>
      <c r="B66" s="2"/>
      <c r="C66" s="2"/>
    </row>
    <row r="67" spans="1:3" x14ac:dyDescent="0.25">
      <c r="A67" s="104" t="s">
        <v>61</v>
      </c>
      <c r="B67" s="104"/>
      <c r="C67" s="104"/>
    </row>
    <row r="69" spans="1:3" x14ac:dyDescent="0.25">
      <c r="A69" s="98" t="s">
        <v>221</v>
      </c>
      <c r="B69" s="99"/>
      <c r="C69" s="99"/>
    </row>
  </sheetData>
  <mergeCells count="6">
    <mergeCell ref="A69:C69"/>
    <mergeCell ref="A1:B1"/>
    <mergeCell ref="A2:B2"/>
    <mergeCell ref="A3:C3"/>
    <mergeCell ref="B5:C5"/>
    <mergeCell ref="A67:C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87"/>
  <sheetViews>
    <sheetView tabSelected="1" zoomScale="120" zoomScaleNormal="120" workbookViewId="0">
      <selection activeCell="A12" sqref="A12:A61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17.140625" customWidth="1"/>
    <col min="10" max="10" width="12.85546875" customWidth="1"/>
    <col min="11" max="11" width="10.5703125" bestFit="1" customWidth="1"/>
  </cols>
  <sheetData>
    <row r="1" spans="1:8" ht="18" x14ac:dyDescent="0.25">
      <c r="A1" s="100" t="s">
        <v>59</v>
      </c>
      <c r="B1" s="99"/>
      <c r="C1" s="99"/>
      <c r="D1" s="99"/>
      <c r="E1" s="99"/>
    </row>
    <row r="2" spans="1:8" ht="18" x14ac:dyDescent="0.25">
      <c r="A2" s="100" t="s">
        <v>186</v>
      </c>
      <c r="B2" s="99"/>
      <c r="C2" s="99"/>
      <c r="D2" s="99"/>
      <c r="E2" s="99"/>
    </row>
    <row r="3" spans="1:8" x14ac:dyDescent="0.25">
      <c r="A3" s="105">
        <v>45108</v>
      </c>
      <c r="B3" s="99"/>
      <c r="C3" s="99"/>
      <c r="D3" s="99"/>
      <c r="E3" s="99"/>
    </row>
    <row r="4" spans="1:8" x14ac:dyDescent="0.25">
      <c r="A4" s="90"/>
    </row>
    <row r="5" spans="1:8" ht="21" x14ac:dyDescent="0.35">
      <c r="A5" s="106" t="s">
        <v>238</v>
      </c>
    </row>
    <row r="6" spans="1:8" ht="21" x14ac:dyDescent="0.35">
      <c r="A6" s="106" t="s">
        <v>239</v>
      </c>
    </row>
    <row r="7" spans="1:8" ht="21" x14ac:dyDescent="0.35">
      <c r="A7" s="106" t="s">
        <v>240</v>
      </c>
    </row>
    <row r="8" spans="1:8" x14ac:dyDescent="0.25">
      <c r="A8" s="1"/>
      <c r="B8" s="102" t="s">
        <v>0</v>
      </c>
      <c r="C8" s="103"/>
      <c r="D8" s="103"/>
      <c r="E8" s="103"/>
    </row>
    <row r="9" spans="1:8" ht="31.5" customHeight="1" x14ac:dyDescent="0.25">
      <c r="A9" s="1"/>
      <c r="B9" s="84" t="s">
        <v>124</v>
      </c>
      <c r="C9" s="84" t="s">
        <v>123</v>
      </c>
      <c r="D9" s="84" t="s">
        <v>122</v>
      </c>
      <c r="E9" s="84" t="s">
        <v>121</v>
      </c>
    </row>
    <row r="10" spans="1:8" x14ac:dyDescent="0.25">
      <c r="A10" s="3" t="s">
        <v>120</v>
      </c>
      <c r="B10" s="2"/>
      <c r="C10" s="2"/>
      <c r="D10" s="2"/>
      <c r="E10" s="2"/>
    </row>
    <row r="11" spans="1:8" x14ac:dyDescent="0.25">
      <c r="A11" s="3" t="s">
        <v>119</v>
      </c>
      <c r="B11" s="2"/>
      <c r="C11" s="2"/>
      <c r="D11" s="5">
        <f t="shared" ref="D11:D20" si="0">(B11)-(C11)</f>
        <v>0</v>
      </c>
      <c r="E11" s="88" t="str">
        <f t="shared" ref="E11:E20" si="1">IF(C11=0,"",(B11)/(C11))</f>
        <v/>
      </c>
    </row>
    <row r="12" spans="1:8" x14ac:dyDescent="0.25">
      <c r="A12" s="107" t="s">
        <v>118</v>
      </c>
      <c r="B12" s="5">
        <f>7.4</f>
        <v>7.4</v>
      </c>
      <c r="C12" s="5">
        <f>687.5</f>
        <v>687.5</v>
      </c>
      <c r="D12" s="5">
        <f t="shared" si="0"/>
        <v>-680.1</v>
      </c>
      <c r="E12" s="88">
        <f t="shared" si="1"/>
        <v>1.0763636363636364E-2</v>
      </c>
    </row>
    <row r="13" spans="1:8" x14ac:dyDescent="0.25">
      <c r="A13" s="107" t="s">
        <v>117</v>
      </c>
      <c r="B13" s="2"/>
      <c r="C13" s="2"/>
      <c r="D13" s="5">
        <f t="shared" si="0"/>
        <v>0</v>
      </c>
      <c r="E13" s="88" t="str">
        <f t="shared" si="1"/>
        <v/>
      </c>
    </row>
    <row r="14" spans="1:8" x14ac:dyDescent="0.25">
      <c r="A14" s="107" t="s">
        <v>116</v>
      </c>
      <c r="B14" s="5">
        <f>36576.07</f>
        <v>36576.07</v>
      </c>
      <c r="C14" s="5">
        <f>36250</f>
        <v>36250</v>
      </c>
      <c r="D14" s="5">
        <f t="shared" si="0"/>
        <v>326.06999999999971</v>
      </c>
      <c r="E14" s="88">
        <f t="shared" si="1"/>
        <v>1.0089950344827585</v>
      </c>
    </row>
    <row r="15" spans="1:8" x14ac:dyDescent="0.25">
      <c r="A15" s="107" t="s">
        <v>187</v>
      </c>
      <c r="B15" s="4">
        <f>(B13)+(B14)</f>
        <v>36576.07</v>
      </c>
      <c r="C15" s="4">
        <f>(C13)+(C14)</f>
        <v>36250</v>
      </c>
      <c r="D15" s="4">
        <f t="shared" si="0"/>
        <v>326.06999999999971</v>
      </c>
      <c r="E15" s="89">
        <f t="shared" si="1"/>
        <v>1.0089950344827585</v>
      </c>
      <c r="H15" s="76"/>
    </row>
    <row r="16" spans="1:8" x14ac:dyDescent="0.25">
      <c r="A16" s="107" t="s">
        <v>188</v>
      </c>
      <c r="B16" s="5">
        <f>4166.67</f>
        <v>4166.67</v>
      </c>
      <c r="C16" s="5">
        <f>4166.67</f>
        <v>4166.67</v>
      </c>
      <c r="D16" s="5">
        <f t="shared" si="0"/>
        <v>0</v>
      </c>
      <c r="E16" s="88">
        <f t="shared" si="1"/>
        <v>1</v>
      </c>
    </row>
    <row r="17" spans="1:9" x14ac:dyDescent="0.25">
      <c r="A17" s="107" t="s">
        <v>115</v>
      </c>
      <c r="B17" s="4">
        <f>(((B11)+(B12))+(B15))+(B16)</f>
        <v>40750.14</v>
      </c>
      <c r="C17" s="4">
        <f>(((C11)+(C12))+(C15))+(C16)</f>
        <v>41104.17</v>
      </c>
      <c r="D17" s="4">
        <f t="shared" si="0"/>
        <v>-354.02999999999884</v>
      </c>
      <c r="E17" s="89">
        <f t="shared" si="1"/>
        <v>0.9913870052600503</v>
      </c>
    </row>
    <row r="18" spans="1:9" x14ac:dyDescent="0.25">
      <c r="A18" s="107" t="s">
        <v>114</v>
      </c>
      <c r="B18" s="5">
        <f>87.16</f>
        <v>87.16</v>
      </c>
      <c r="C18" s="2"/>
      <c r="D18" s="5">
        <f t="shared" si="0"/>
        <v>87.16</v>
      </c>
      <c r="E18" s="88" t="str">
        <f t="shared" si="1"/>
        <v/>
      </c>
    </row>
    <row r="19" spans="1:9" x14ac:dyDescent="0.25">
      <c r="A19" s="107" t="s">
        <v>113</v>
      </c>
      <c r="B19" s="4">
        <f>(B17)+(B18)</f>
        <v>40837.300000000003</v>
      </c>
      <c r="C19" s="4">
        <f>(C17)+(C18)</f>
        <v>41104.17</v>
      </c>
      <c r="D19" s="4">
        <f t="shared" si="0"/>
        <v>-266.86999999999534</v>
      </c>
      <c r="E19" s="89">
        <f t="shared" si="1"/>
        <v>0.99350747138307394</v>
      </c>
    </row>
    <row r="20" spans="1:9" x14ac:dyDescent="0.25">
      <c r="A20" s="107" t="s">
        <v>112</v>
      </c>
      <c r="B20" s="4">
        <f>(B19)-(0)</f>
        <v>40837.300000000003</v>
      </c>
      <c r="C20" s="4">
        <f>(C19)-(0)</f>
        <v>41104.17</v>
      </c>
      <c r="D20" s="4">
        <f t="shared" si="0"/>
        <v>-266.86999999999534</v>
      </c>
      <c r="E20" s="89">
        <f t="shared" si="1"/>
        <v>0.99350747138307394</v>
      </c>
      <c r="H20" s="76">
        <f>+D20</f>
        <v>-266.86999999999534</v>
      </c>
      <c r="I20" t="s">
        <v>199</v>
      </c>
    </row>
    <row r="21" spans="1:9" x14ac:dyDescent="0.25">
      <c r="A21" s="107" t="s">
        <v>111</v>
      </c>
      <c r="B21" s="2"/>
      <c r="C21" s="2"/>
      <c r="D21" s="2"/>
      <c r="E21" s="2"/>
    </row>
    <row r="22" spans="1:9" x14ac:dyDescent="0.25">
      <c r="A22" s="107" t="s">
        <v>241</v>
      </c>
      <c r="B22" s="5">
        <f>425</f>
        <v>425</v>
      </c>
      <c r="C22" s="5">
        <f>416.67</f>
        <v>416.67</v>
      </c>
      <c r="D22" s="5">
        <f t="shared" ref="D22:D62" si="2">(B22)-(C22)</f>
        <v>8.3299999999999841</v>
      </c>
      <c r="E22" s="88">
        <f t="shared" ref="E22:E62" si="3">IF(C22=0,"",(B22)/(C22))</f>
        <v>1.0199918400652794</v>
      </c>
    </row>
    <row r="23" spans="1:9" x14ac:dyDescent="0.25">
      <c r="A23" s="107" t="s">
        <v>189</v>
      </c>
      <c r="B23" s="2"/>
      <c r="C23" s="5">
        <f>1000</f>
        <v>1000</v>
      </c>
      <c r="D23" s="5">
        <f t="shared" si="2"/>
        <v>-1000</v>
      </c>
      <c r="E23" s="88">
        <f t="shared" si="3"/>
        <v>0</v>
      </c>
    </row>
    <row r="24" spans="1:9" x14ac:dyDescent="0.25">
      <c r="A24" s="107" t="s">
        <v>215</v>
      </c>
      <c r="B24" s="2"/>
      <c r="C24" s="5">
        <f>833.33</f>
        <v>833.33</v>
      </c>
      <c r="D24" s="5">
        <f t="shared" si="2"/>
        <v>-833.33</v>
      </c>
      <c r="E24" s="88">
        <f t="shared" si="3"/>
        <v>0</v>
      </c>
    </row>
    <row r="25" spans="1:9" x14ac:dyDescent="0.25">
      <c r="A25" s="107" t="s">
        <v>110</v>
      </c>
      <c r="B25" s="5">
        <f>119.34</f>
        <v>119.34</v>
      </c>
      <c r="C25" s="5">
        <f>8.33</f>
        <v>8.33</v>
      </c>
      <c r="D25" s="5">
        <f t="shared" si="2"/>
        <v>111.01</v>
      </c>
      <c r="E25" s="88">
        <f t="shared" si="3"/>
        <v>14.326530612244898</v>
      </c>
      <c r="F25" t="s">
        <v>205</v>
      </c>
      <c r="G25" s="78">
        <f>SUM(B22:B32)</f>
        <v>2858.27</v>
      </c>
    </row>
    <row r="26" spans="1:9" x14ac:dyDescent="0.25">
      <c r="A26" s="107" t="s">
        <v>109</v>
      </c>
      <c r="B26" s="2"/>
      <c r="C26" s="5">
        <f>100</f>
        <v>100</v>
      </c>
      <c r="D26" s="5">
        <f t="shared" si="2"/>
        <v>-100</v>
      </c>
      <c r="E26" s="88">
        <f t="shared" si="3"/>
        <v>0</v>
      </c>
      <c r="F26" t="s">
        <v>206</v>
      </c>
      <c r="G26" s="78">
        <f>SUM(C22:C33)</f>
        <v>5918.76</v>
      </c>
    </row>
    <row r="27" spans="1:9" x14ac:dyDescent="0.25">
      <c r="A27" s="107" t="s">
        <v>108</v>
      </c>
      <c r="B27" s="2"/>
      <c r="C27" s="5">
        <f>514.58</f>
        <v>514.58000000000004</v>
      </c>
      <c r="D27" s="5">
        <f t="shared" si="2"/>
        <v>-514.58000000000004</v>
      </c>
      <c r="E27" s="88">
        <f t="shared" si="3"/>
        <v>0</v>
      </c>
      <c r="G27" s="75">
        <f>+G26-G25</f>
        <v>3060.4900000000002</v>
      </c>
    </row>
    <row r="28" spans="1:9" x14ac:dyDescent="0.25">
      <c r="A28" s="107" t="s">
        <v>107</v>
      </c>
      <c r="B28" s="5">
        <f>313.93</f>
        <v>313.93</v>
      </c>
      <c r="C28" s="5">
        <f>416.67</f>
        <v>416.67</v>
      </c>
      <c r="D28" s="5">
        <f t="shared" si="2"/>
        <v>-102.74000000000001</v>
      </c>
      <c r="E28" s="88">
        <f t="shared" si="3"/>
        <v>0.75342597259221922</v>
      </c>
      <c r="G28" s="77"/>
      <c r="H28" s="75">
        <f>+D22+D23+D24+D25+D26+D27+D28+D29+D30+D31+D32</f>
        <v>-3060.4900000000007</v>
      </c>
      <c r="I28" t="s">
        <v>200</v>
      </c>
    </row>
    <row r="29" spans="1:9" x14ac:dyDescent="0.25">
      <c r="A29" s="107" t="s">
        <v>209</v>
      </c>
      <c r="B29" s="5">
        <f>2000</f>
        <v>2000</v>
      </c>
      <c r="C29" s="5">
        <f>2416.67</f>
        <v>2416.67</v>
      </c>
      <c r="D29" s="5">
        <f t="shared" si="2"/>
        <v>-416.67000000000007</v>
      </c>
      <c r="E29" s="88">
        <f t="shared" si="3"/>
        <v>0.82758506539990973</v>
      </c>
    </row>
    <row r="30" spans="1:9" x14ac:dyDescent="0.25">
      <c r="A30" s="107" t="s">
        <v>106</v>
      </c>
      <c r="B30" s="2"/>
      <c r="C30" s="5">
        <f>4.17</f>
        <v>4.17</v>
      </c>
      <c r="D30" s="5">
        <f t="shared" si="2"/>
        <v>-4.17</v>
      </c>
      <c r="E30" s="88">
        <f t="shared" si="3"/>
        <v>0</v>
      </c>
    </row>
    <row r="31" spans="1:9" x14ac:dyDescent="0.25">
      <c r="A31" s="107" t="s">
        <v>105</v>
      </c>
      <c r="B31" s="2"/>
      <c r="C31" s="5">
        <f>166.67</f>
        <v>166.67</v>
      </c>
      <c r="D31" s="5">
        <f t="shared" si="2"/>
        <v>-166.67</v>
      </c>
      <c r="E31" s="88">
        <f t="shared" si="3"/>
        <v>0</v>
      </c>
    </row>
    <row r="32" spans="1:9" x14ac:dyDescent="0.25">
      <c r="A32" s="107" t="s">
        <v>104</v>
      </c>
      <c r="B32" s="2"/>
      <c r="C32" s="5">
        <f>41.67</f>
        <v>41.67</v>
      </c>
      <c r="D32" s="5">
        <f t="shared" si="2"/>
        <v>-41.67</v>
      </c>
      <c r="E32" s="88">
        <f t="shared" si="3"/>
        <v>0</v>
      </c>
      <c r="G32" t="s">
        <v>228</v>
      </c>
    </row>
    <row r="33" spans="1:11" x14ac:dyDescent="0.25">
      <c r="A33" s="107" t="s">
        <v>103</v>
      </c>
      <c r="B33" s="2"/>
      <c r="C33" s="2"/>
      <c r="D33" s="5">
        <f t="shared" si="2"/>
        <v>0</v>
      </c>
      <c r="E33" s="88" t="str">
        <f t="shared" si="3"/>
        <v/>
      </c>
      <c r="F33" t="s">
        <v>205</v>
      </c>
      <c r="G33" s="80">
        <f>SUM(B33:B37)</f>
        <v>9137.5300000000007</v>
      </c>
    </row>
    <row r="34" spans="1:11" x14ac:dyDescent="0.25">
      <c r="A34" s="107" t="s">
        <v>102</v>
      </c>
      <c r="B34" s="5">
        <f>470</f>
        <v>470</v>
      </c>
      <c r="C34" s="2"/>
      <c r="D34" s="5">
        <f t="shared" si="2"/>
        <v>470</v>
      </c>
      <c r="E34" s="88" t="str">
        <f t="shared" si="3"/>
        <v/>
      </c>
      <c r="F34" t="s">
        <v>206</v>
      </c>
      <c r="G34" s="80">
        <f>SUM(C33:C37)</f>
        <v>13006.24</v>
      </c>
      <c r="H34" s="78"/>
    </row>
    <row r="35" spans="1:11" x14ac:dyDescent="0.25">
      <c r="A35" s="107" t="s">
        <v>101</v>
      </c>
      <c r="B35" s="5">
        <f>7774.2</f>
        <v>7774.2</v>
      </c>
      <c r="C35" s="5">
        <f>11748.08</f>
        <v>11748.08</v>
      </c>
      <c r="D35" s="5">
        <f t="shared" si="2"/>
        <v>-3973.88</v>
      </c>
      <c r="E35" s="88">
        <f t="shared" si="3"/>
        <v>0.66174217404035385</v>
      </c>
      <c r="G35" s="80">
        <f>+G33-G34</f>
        <v>-3868.7099999999991</v>
      </c>
      <c r="H35" s="82">
        <f>+G35</f>
        <v>-3868.7099999999991</v>
      </c>
    </row>
    <row r="36" spans="1:11" x14ac:dyDescent="0.25">
      <c r="A36" s="107" t="s">
        <v>100</v>
      </c>
      <c r="B36" s="2"/>
      <c r="C36" s="5">
        <f>83.33</f>
        <v>83.33</v>
      </c>
      <c r="D36" s="5">
        <f t="shared" si="2"/>
        <v>-83.33</v>
      </c>
      <c r="E36" s="88">
        <f t="shared" si="3"/>
        <v>0</v>
      </c>
      <c r="G36" s="80"/>
    </row>
    <row r="37" spans="1:11" x14ac:dyDescent="0.25">
      <c r="A37" s="107" t="s">
        <v>99</v>
      </c>
      <c r="B37" s="5">
        <f>893.33</f>
        <v>893.33</v>
      </c>
      <c r="C37" s="5">
        <f>1174.83</f>
        <v>1174.83</v>
      </c>
      <c r="D37" s="5">
        <f t="shared" si="2"/>
        <v>-281.49999999999989</v>
      </c>
      <c r="E37" s="88">
        <f t="shared" si="3"/>
        <v>0.76039086506132814</v>
      </c>
    </row>
    <row r="38" spans="1:11" x14ac:dyDescent="0.25">
      <c r="A38" s="107" t="s">
        <v>98</v>
      </c>
      <c r="B38" s="4">
        <f>((((B33)+(B34))+(B35))+(B36))+(B37)</f>
        <v>9137.5300000000007</v>
      </c>
      <c r="C38" s="4">
        <f>((((C33)+(C34))+(C35))+(C36))+(C37)</f>
        <v>13006.24</v>
      </c>
      <c r="D38" s="93">
        <f t="shared" si="2"/>
        <v>-3868.7099999999991</v>
      </c>
      <c r="E38" s="89">
        <f t="shared" si="3"/>
        <v>0.70254969922129695</v>
      </c>
      <c r="K38" s="75">
        <f>+H43+H34</f>
        <v>-83.329999999999927</v>
      </c>
    </row>
    <row r="39" spans="1:11" x14ac:dyDescent="0.25">
      <c r="A39" s="107" t="s">
        <v>97</v>
      </c>
      <c r="B39" s="2"/>
      <c r="C39" s="2"/>
      <c r="D39" s="5">
        <f t="shared" si="2"/>
        <v>0</v>
      </c>
      <c r="E39" s="88" t="str">
        <f t="shared" si="3"/>
        <v/>
      </c>
    </row>
    <row r="40" spans="1:11" x14ac:dyDescent="0.25">
      <c r="A40" s="107" t="s">
        <v>96</v>
      </c>
      <c r="B40" s="5">
        <f>2200</f>
        <v>2200</v>
      </c>
      <c r="C40" s="5">
        <f>2200</f>
        <v>2200</v>
      </c>
      <c r="D40" s="5">
        <f t="shared" si="2"/>
        <v>0</v>
      </c>
      <c r="E40" s="88">
        <f t="shared" si="3"/>
        <v>1</v>
      </c>
    </row>
    <row r="41" spans="1:11" x14ac:dyDescent="0.25">
      <c r="A41" s="107" t="s">
        <v>95</v>
      </c>
      <c r="B41" s="2"/>
      <c r="C41" s="5">
        <f>0</f>
        <v>0</v>
      </c>
      <c r="D41" s="5">
        <f t="shared" si="2"/>
        <v>0</v>
      </c>
      <c r="E41" s="88" t="str">
        <f t="shared" si="3"/>
        <v/>
      </c>
    </row>
    <row r="42" spans="1:11" x14ac:dyDescent="0.25">
      <c r="A42" s="107" t="s">
        <v>94</v>
      </c>
      <c r="B42" s="2"/>
      <c r="C42" s="5">
        <f>83.33</f>
        <v>83.33</v>
      </c>
      <c r="D42" s="5">
        <f t="shared" si="2"/>
        <v>-83.33</v>
      </c>
      <c r="E42" s="88">
        <f t="shared" si="3"/>
        <v>0</v>
      </c>
    </row>
    <row r="43" spans="1:11" x14ac:dyDescent="0.25">
      <c r="A43" s="107" t="s">
        <v>93</v>
      </c>
      <c r="B43" s="4">
        <f>(((B39)+(B40))+(B41))+(B42)</f>
        <v>2200</v>
      </c>
      <c r="C43" s="4">
        <f>(((C39)+(C40))+(C41))+(C42)</f>
        <v>2283.33</v>
      </c>
      <c r="D43" s="93">
        <f t="shared" si="2"/>
        <v>-83.329999999999927</v>
      </c>
      <c r="E43" s="89">
        <f t="shared" si="3"/>
        <v>0.96350505621176097</v>
      </c>
      <c r="H43" s="76">
        <f>+D43</f>
        <v>-83.329999999999927</v>
      </c>
      <c r="I43" t="s">
        <v>200</v>
      </c>
    </row>
    <row r="44" spans="1:11" x14ac:dyDescent="0.25">
      <c r="A44" s="107" t="s">
        <v>92</v>
      </c>
      <c r="B44" s="2"/>
      <c r="C44" s="2"/>
      <c r="D44" s="5">
        <f t="shared" si="2"/>
        <v>0</v>
      </c>
      <c r="E44" s="88" t="str">
        <f t="shared" si="3"/>
        <v/>
      </c>
    </row>
    <row r="45" spans="1:11" x14ac:dyDescent="0.25">
      <c r="A45" s="107" t="s">
        <v>91</v>
      </c>
      <c r="B45" s="2"/>
      <c r="C45" s="5">
        <f>0</f>
        <v>0</v>
      </c>
      <c r="D45" s="5">
        <f t="shared" si="2"/>
        <v>0</v>
      </c>
      <c r="E45" s="88" t="str">
        <f t="shared" si="3"/>
        <v/>
      </c>
    </row>
    <row r="46" spans="1:11" x14ac:dyDescent="0.25">
      <c r="A46" s="107" t="s">
        <v>90</v>
      </c>
      <c r="B46" s="4">
        <f>(B44)+(B45)</f>
        <v>0</v>
      </c>
      <c r="C46" s="4">
        <f>(C44)+(C45)</f>
        <v>0</v>
      </c>
      <c r="D46" s="4">
        <f t="shared" si="2"/>
        <v>0</v>
      </c>
      <c r="E46" s="89" t="str">
        <f t="shared" si="3"/>
        <v/>
      </c>
      <c r="H46" s="76">
        <f>+D45</f>
        <v>0</v>
      </c>
      <c r="I46" t="s">
        <v>200</v>
      </c>
    </row>
    <row r="47" spans="1:11" x14ac:dyDescent="0.25">
      <c r="A47" s="107" t="s">
        <v>89</v>
      </c>
      <c r="B47" s="2"/>
      <c r="C47" s="2"/>
      <c r="D47" s="5">
        <f t="shared" si="2"/>
        <v>0</v>
      </c>
      <c r="E47" s="88" t="str">
        <f t="shared" si="3"/>
        <v/>
      </c>
    </row>
    <row r="48" spans="1:11" x14ac:dyDescent="0.25">
      <c r="A48" s="107" t="s">
        <v>88</v>
      </c>
      <c r="B48" s="5">
        <f>30.5</f>
        <v>30.5</v>
      </c>
      <c r="C48" s="5">
        <f>83.33</f>
        <v>83.33</v>
      </c>
      <c r="D48" s="5">
        <f t="shared" si="2"/>
        <v>-52.83</v>
      </c>
      <c r="E48" s="88">
        <f t="shared" si="3"/>
        <v>0.36601464058562344</v>
      </c>
    </row>
    <row r="49" spans="1:11" x14ac:dyDescent="0.25">
      <c r="A49" s="107" t="s">
        <v>87</v>
      </c>
      <c r="B49" s="5">
        <f>66.67</f>
        <v>66.67</v>
      </c>
      <c r="C49" s="5">
        <f>41.67</f>
        <v>41.67</v>
      </c>
      <c r="D49" s="5">
        <f t="shared" si="2"/>
        <v>25</v>
      </c>
      <c r="E49" s="88">
        <f t="shared" si="3"/>
        <v>1.5999520038396928</v>
      </c>
    </row>
    <row r="50" spans="1:11" x14ac:dyDescent="0.25">
      <c r="A50" s="107" t="s">
        <v>86</v>
      </c>
      <c r="B50" s="5">
        <f>138.33</f>
        <v>138.33000000000001</v>
      </c>
      <c r="C50" s="5">
        <f>83.33</f>
        <v>83.33</v>
      </c>
      <c r="D50" s="5">
        <f t="shared" si="2"/>
        <v>55.000000000000014</v>
      </c>
      <c r="E50" s="88">
        <f t="shared" si="3"/>
        <v>1.6600264010560424</v>
      </c>
    </row>
    <row r="51" spans="1:11" x14ac:dyDescent="0.25">
      <c r="A51" s="107" t="s">
        <v>85</v>
      </c>
      <c r="B51" s="5">
        <f>500</f>
        <v>500</v>
      </c>
      <c r="C51" s="5">
        <f>250</f>
        <v>250</v>
      </c>
      <c r="D51" s="5">
        <f t="shared" si="2"/>
        <v>250</v>
      </c>
      <c r="E51" s="88">
        <f t="shared" si="3"/>
        <v>2</v>
      </c>
    </row>
    <row r="52" spans="1:11" x14ac:dyDescent="0.25">
      <c r="A52" s="107" t="s">
        <v>84</v>
      </c>
      <c r="B52" s="2"/>
      <c r="C52" s="5">
        <f>0</f>
        <v>0</v>
      </c>
      <c r="D52" s="5">
        <f t="shared" si="2"/>
        <v>0</v>
      </c>
      <c r="E52" s="88" t="str">
        <f t="shared" si="3"/>
        <v/>
      </c>
    </row>
    <row r="53" spans="1:11" x14ac:dyDescent="0.25">
      <c r="A53" s="107" t="s">
        <v>83</v>
      </c>
      <c r="B53" s="5">
        <f>90.41</f>
        <v>90.41</v>
      </c>
      <c r="C53" s="5">
        <f>100</f>
        <v>100</v>
      </c>
      <c r="D53" s="5">
        <f t="shared" si="2"/>
        <v>-9.5900000000000034</v>
      </c>
      <c r="E53" s="88">
        <f t="shared" si="3"/>
        <v>0.90410000000000001</v>
      </c>
    </row>
    <row r="54" spans="1:11" x14ac:dyDescent="0.25">
      <c r="A54" s="107" t="s">
        <v>82</v>
      </c>
      <c r="B54" s="4">
        <f>((((((B47)+(B48))+(B49))+(B50))+(B51))+(B52))+(B53)</f>
        <v>825.91</v>
      </c>
      <c r="C54" s="4">
        <f>((((((C47)+(C48))+(C49))+(C50))+(C51))+(C52))+(C53)</f>
        <v>558.32999999999993</v>
      </c>
      <c r="D54" s="93">
        <f t="shared" si="2"/>
        <v>267.58000000000004</v>
      </c>
      <c r="E54" s="89">
        <f t="shared" si="3"/>
        <v>1.4792506223917756</v>
      </c>
      <c r="H54" s="76">
        <f>+D54</f>
        <v>267.58000000000004</v>
      </c>
      <c r="I54" t="s">
        <v>201</v>
      </c>
    </row>
    <row r="55" spans="1:11" x14ac:dyDescent="0.25">
      <c r="A55" s="107" t="s">
        <v>81</v>
      </c>
      <c r="B55" s="2"/>
      <c r="C55" s="2"/>
      <c r="D55" s="5">
        <f t="shared" si="2"/>
        <v>0</v>
      </c>
      <c r="E55" s="88" t="str">
        <f t="shared" si="3"/>
        <v/>
      </c>
    </row>
    <row r="56" spans="1:11" x14ac:dyDescent="0.25">
      <c r="A56" s="107" t="s">
        <v>190</v>
      </c>
      <c r="B56" s="5">
        <f>437.5</f>
        <v>437.5</v>
      </c>
      <c r="C56" s="5">
        <f>20.83</f>
        <v>20.83</v>
      </c>
      <c r="D56" s="5">
        <f t="shared" si="2"/>
        <v>416.67</v>
      </c>
      <c r="E56" s="88">
        <f t="shared" si="3"/>
        <v>21.003360537686032</v>
      </c>
    </row>
    <row r="57" spans="1:11" x14ac:dyDescent="0.25">
      <c r="A57" s="107" t="s">
        <v>80</v>
      </c>
      <c r="B57" s="5">
        <f>543.75</f>
        <v>543.75</v>
      </c>
      <c r="C57" s="5">
        <f>41.67</f>
        <v>41.67</v>
      </c>
      <c r="D57" s="5">
        <f t="shared" si="2"/>
        <v>502.08</v>
      </c>
      <c r="E57" s="88">
        <f t="shared" si="3"/>
        <v>13.048956083513318</v>
      </c>
    </row>
    <row r="58" spans="1:11" x14ac:dyDescent="0.25">
      <c r="A58" s="107" t="s">
        <v>79</v>
      </c>
      <c r="B58" s="2"/>
      <c r="C58" s="5">
        <f>16.67</f>
        <v>16.670000000000002</v>
      </c>
      <c r="D58" s="5">
        <f t="shared" si="2"/>
        <v>-16.670000000000002</v>
      </c>
      <c r="E58" s="88">
        <f t="shared" si="3"/>
        <v>0</v>
      </c>
    </row>
    <row r="59" spans="1:11" x14ac:dyDescent="0.25">
      <c r="A59" s="107" t="s">
        <v>78</v>
      </c>
      <c r="B59" s="2"/>
      <c r="C59" s="5">
        <f>12.5</f>
        <v>12.5</v>
      </c>
      <c r="D59" s="5">
        <f t="shared" si="2"/>
        <v>-12.5</v>
      </c>
      <c r="E59" s="88">
        <f t="shared" si="3"/>
        <v>0</v>
      </c>
    </row>
    <row r="60" spans="1:11" x14ac:dyDescent="0.25">
      <c r="A60" s="107" t="s">
        <v>77</v>
      </c>
      <c r="B60" s="4">
        <f>((((B55)+(B56))+(B57))+(B58))+(B59)</f>
        <v>981.25</v>
      </c>
      <c r="C60" s="4">
        <f>((((C55)+(C56))+(C57))+(C58))+(C59)</f>
        <v>91.67</v>
      </c>
      <c r="D60" s="93">
        <f t="shared" si="2"/>
        <v>889.58</v>
      </c>
      <c r="E60" s="89">
        <f t="shared" si="3"/>
        <v>10.704156212501363</v>
      </c>
      <c r="H60" s="76">
        <f>+D60</f>
        <v>889.58</v>
      </c>
      <c r="I60" t="s">
        <v>201</v>
      </c>
    </row>
    <row r="61" spans="1:11" x14ac:dyDescent="0.25">
      <c r="A61" s="107" t="s">
        <v>76</v>
      </c>
      <c r="B61" s="4">
        <f>(((((((((((((((B22)+(B23))+(B24))+(B25))+(B26))+(B27))+(B28))+(B29))+(B30))+(B31))+(B32))+(B38))+(B43))+(B46))+(B54))+(B60)</f>
        <v>16002.960000000001</v>
      </c>
      <c r="C61" s="4">
        <f>(((((((((((((((C22)+(C23))+(C24))+(C25))+(C26))+(C27))+(C28))+(C29))+(C30))+(C31))+(C32))+(C38))+(C43))+(C46))+(C54))+(C60)</f>
        <v>21858.33</v>
      </c>
      <c r="D61" s="4">
        <f t="shared" si="2"/>
        <v>-5855.3700000000008</v>
      </c>
      <c r="E61" s="89">
        <f t="shared" si="3"/>
        <v>0.73212180436474328</v>
      </c>
      <c r="H61" s="80">
        <f>SUM(H24:H60)</f>
        <v>-5855.37</v>
      </c>
      <c r="I61" s="77">
        <f>+H61-D61</f>
        <v>0</v>
      </c>
      <c r="K61" s="77"/>
    </row>
    <row r="62" spans="1:11" x14ac:dyDescent="0.25">
      <c r="A62" s="3" t="s">
        <v>75</v>
      </c>
      <c r="B62" s="4">
        <f>(B20)-(B61)</f>
        <v>24834.340000000004</v>
      </c>
      <c r="C62" s="4">
        <f>(C20)-(C61)</f>
        <v>19245.839999999997</v>
      </c>
      <c r="D62" s="4">
        <f t="shared" si="2"/>
        <v>5588.5000000000073</v>
      </c>
      <c r="E62" s="89">
        <f t="shared" si="3"/>
        <v>1.2903744393593632</v>
      </c>
      <c r="K62" s="75"/>
    </row>
    <row r="63" spans="1:11" x14ac:dyDescent="0.25">
      <c r="A63" s="3" t="s">
        <v>74</v>
      </c>
      <c r="B63" s="2"/>
      <c r="C63" s="2"/>
      <c r="D63" s="2"/>
      <c r="E63" s="2"/>
      <c r="G63" s="86" t="s">
        <v>203</v>
      </c>
      <c r="H63" s="76">
        <f>+H20</f>
        <v>-266.86999999999534</v>
      </c>
    </row>
    <row r="64" spans="1:11" x14ac:dyDescent="0.25">
      <c r="A64" s="3" t="s">
        <v>73</v>
      </c>
      <c r="B64" s="5">
        <f>84141.22</f>
        <v>84141.22</v>
      </c>
      <c r="C64" s="2"/>
      <c r="D64" s="5">
        <f t="shared" ref="D64:D71" si="4">(B64)-(C64)</f>
        <v>84141.22</v>
      </c>
      <c r="E64" s="88" t="str">
        <f t="shared" ref="E64:E71" si="5">IF(C64=0,"",(B64)/(C64))</f>
        <v/>
      </c>
      <c r="G64" s="86" t="s">
        <v>229</v>
      </c>
      <c r="H64" s="77">
        <f>-D61</f>
        <v>5855.3700000000008</v>
      </c>
    </row>
    <row r="65" spans="1:8" ht="15.75" thickBot="1" x14ac:dyDescent="0.3">
      <c r="A65" s="3" t="s">
        <v>72</v>
      </c>
      <c r="B65" s="2"/>
      <c r="C65" s="2"/>
      <c r="D65" s="5">
        <f t="shared" si="4"/>
        <v>0</v>
      </c>
      <c r="E65" s="88" t="str">
        <f t="shared" si="5"/>
        <v/>
      </c>
      <c r="H65" s="85">
        <f>+H63+H64</f>
        <v>5588.5000000000055</v>
      </c>
    </row>
    <row r="66" spans="1:8" ht="15.75" thickTop="1" x14ac:dyDescent="0.25">
      <c r="A66" s="3" t="s">
        <v>71</v>
      </c>
      <c r="B66" s="5">
        <f>6767.47</f>
        <v>6767.47</v>
      </c>
      <c r="C66" s="2"/>
      <c r="D66" s="5">
        <f t="shared" si="4"/>
        <v>6767.47</v>
      </c>
      <c r="E66" s="88" t="str">
        <f t="shared" si="5"/>
        <v/>
      </c>
      <c r="F66" s="77">
        <f>261638.44-B66</f>
        <v>254870.97</v>
      </c>
      <c r="H66" s="76"/>
    </row>
    <row r="67" spans="1:8" x14ac:dyDescent="0.25">
      <c r="A67" s="3" t="s">
        <v>180</v>
      </c>
      <c r="B67" s="5">
        <f>0</f>
        <v>0</v>
      </c>
      <c r="C67" s="2"/>
      <c r="D67" s="5">
        <f t="shared" si="4"/>
        <v>0</v>
      </c>
      <c r="E67" s="88" t="str">
        <f t="shared" si="5"/>
        <v/>
      </c>
      <c r="H67" s="76"/>
    </row>
    <row r="68" spans="1:8" x14ac:dyDescent="0.25">
      <c r="A68" s="3" t="s">
        <v>70</v>
      </c>
      <c r="B68" s="5">
        <f>258653.32</f>
        <v>258653.32</v>
      </c>
      <c r="C68" s="2"/>
      <c r="D68" s="5">
        <f t="shared" si="4"/>
        <v>258653.32</v>
      </c>
      <c r="E68" s="88" t="str">
        <f t="shared" si="5"/>
        <v/>
      </c>
      <c r="H68" s="77"/>
    </row>
    <row r="69" spans="1:8" x14ac:dyDescent="0.25">
      <c r="A69" s="3" t="s">
        <v>69</v>
      </c>
      <c r="B69" s="5">
        <f>-25426.12</f>
        <v>-25426.12</v>
      </c>
      <c r="C69" s="2"/>
      <c r="D69" s="5">
        <f t="shared" si="4"/>
        <v>-25426.12</v>
      </c>
      <c r="E69" s="88" t="str">
        <f t="shared" si="5"/>
        <v/>
      </c>
    </row>
    <row r="70" spans="1:8" x14ac:dyDescent="0.25">
      <c r="A70" s="3" t="s">
        <v>68</v>
      </c>
      <c r="B70" s="4">
        <f>((((B65)+(B66))+(B67))+(B68))+(B69)</f>
        <v>239994.66999999998</v>
      </c>
      <c r="C70" s="4">
        <f>((((C65)+(C66))+(C67))+(C68))+(C69)</f>
        <v>0</v>
      </c>
      <c r="D70" s="4">
        <f t="shared" si="4"/>
        <v>239994.66999999998</v>
      </c>
      <c r="E70" s="89" t="str">
        <f t="shared" si="5"/>
        <v/>
      </c>
    </row>
    <row r="71" spans="1:8" x14ac:dyDescent="0.25">
      <c r="A71" s="3" t="s">
        <v>67</v>
      </c>
      <c r="B71" s="4">
        <f>(B64)+(B70)</f>
        <v>324135.89</v>
      </c>
      <c r="C71" s="4">
        <f>(C64)+(C70)</f>
        <v>0</v>
      </c>
      <c r="D71" s="4">
        <f t="shared" si="4"/>
        <v>324135.89</v>
      </c>
      <c r="E71" s="89" t="str">
        <f t="shared" si="5"/>
        <v/>
      </c>
    </row>
    <row r="72" spans="1:8" x14ac:dyDescent="0.25">
      <c r="A72" s="3" t="s">
        <v>66</v>
      </c>
      <c r="B72" s="2"/>
      <c r="C72" s="2"/>
      <c r="D72" s="2"/>
      <c r="E72" s="2"/>
    </row>
    <row r="73" spans="1:8" x14ac:dyDescent="0.25">
      <c r="A73" s="3" t="s">
        <v>65</v>
      </c>
      <c r="B73" s="5">
        <f>57858.51</f>
        <v>57858.51</v>
      </c>
      <c r="C73" s="2"/>
      <c r="D73" s="5">
        <f>(B73)-(C73)</f>
        <v>57858.51</v>
      </c>
      <c r="E73" s="88" t="str">
        <f>IF(C73=0,"",(B73)/(C73))</f>
        <v/>
      </c>
      <c r="H73" s="77"/>
    </row>
    <row r="74" spans="1:8" x14ac:dyDescent="0.25">
      <c r="A74" s="3" t="s">
        <v>64</v>
      </c>
      <c r="B74" s="4">
        <f>B73</f>
        <v>57858.51</v>
      </c>
      <c r="C74" s="4">
        <f>C73</f>
        <v>0</v>
      </c>
      <c r="D74" s="4">
        <f>(B74)-(C74)</f>
        <v>57858.51</v>
      </c>
      <c r="E74" s="89" t="str">
        <f>IF(C74=0,"",(B74)/(C74))</f>
        <v/>
      </c>
    </row>
    <row r="75" spans="1:8" x14ac:dyDescent="0.25">
      <c r="A75" s="3" t="s">
        <v>63</v>
      </c>
      <c r="B75" s="4">
        <f>(B71)-(B74)</f>
        <v>266277.38</v>
      </c>
      <c r="C75" s="4">
        <f>(C71)-(C74)</f>
        <v>0</v>
      </c>
      <c r="D75" s="4">
        <f>(B75)-(C75)</f>
        <v>266277.38</v>
      </c>
      <c r="E75" s="89" t="str">
        <f>IF(C75=0,"",(B75)/(C75))</f>
        <v/>
      </c>
    </row>
    <row r="76" spans="1:8" x14ac:dyDescent="0.25">
      <c r="A76" s="3" t="s">
        <v>62</v>
      </c>
      <c r="B76" s="4">
        <f>(B62)+(B75)</f>
        <v>291111.72000000003</v>
      </c>
      <c r="C76" s="4">
        <f>(C62)+(C75)</f>
        <v>19245.839999999997</v>
      </c>
      <c r="D76" s="4">
        <f>(B76)-(C76)</f>
        <v>271865.88</v>
      </c>
      <c r="E76" s="89">
        <f>IF(C76=0,"",(B76)/(C76))</f>
        <v>15.125955531169337</v>
      </c>
    </row>
    <row r="77" spans="1:8" x14ac:dyDescent="0.25">
      <c r="A77" s="3"/>
      <c r="B77" s="2"/>
      <c r="C77" s="2"/>
      <c r="D77" s="2"/>
      <c r="E77" s="2"/>
    </row>
    <row r="78" spans="1:8" x14ac:dyDescent="0.25">
      <c r="A78" s="104" t="s">
        <v>61</v>
      </c>
      <c r="B78" s="104"/>
      <c r="C78" s="104"/>
      <c r="D78" s="104"/>
      <c r="E78" s="104"/>
    </row>
    <row r="80" spans="1:8" x14ac:dyDescent="0.25">
      <c r="A80" s="98" t="s">
        <v>216</v>
      </c>
      <c r="B80" s="99"/>
      <c r="C80" s="99"/>
      <c r="D80" s="99"/>
      <c r="E80" s="99"/>
    </row>
    <row r="81" spans="1:5" x14ac:dyDescent="0.25">
      <c r="A81" s="3" t="s">
        <v>62</v>
      </c>
      <c r="B81" s="4">
        <f>(B67)+(B80)</f>
        <v>0</v>
      </c>
      <c r="C81" s="4">
        <f>(C67)+(C80)</f>
        <v>0</v>
      </c>
      <c r="D81" s="4">
        <f>(B81)-(C81)</f>
        <v>0</v>
      </c>
      <c r="E81" s="89" t="str">
        <f>IF(C81=0,"",(B81)/(C81))</f>
        <v/>
      </c>
    </row>
    <row r="82" spans="1:5" x14ac:dyDescent="0.25">
      <c r="A82" s="3"/>
      <c r="B82" s="2"/>
      <c r="C82" s="2"/>
      <c r="D82" s="2"/>
      <c r="E82" s="2"/>
    </row>
    <row r="83" spans="1:5" x14ac:dyDescent="0.25">
      <c r="A83" s="104" t="s">
        <v>61</v>
      </c>
      <c r="B83" s="104"/>
      <c r="C83" s="104"/>
      <c r="D83" s="104"/>
      <c r="E83" s="104"/>
    </row>
    <row r="85" spans="1:5" x14ac:dyDescent="0.25">
      <c r="A85" s="98" t="s">
        <v>210</v>
      </c>
      <c r="B85" s="99"/>
      <c r="C85" s="99"/>
      <c r="D85" s="99"/>
      <c r="E85" s="99"/>
    </row>
    <row r="87" spans="1:5" x14ac:dyDescent="0.25">
      <c r="C87" s="81"/>
      <c r="D87" s="81"/>
    </row>
  </sheetData>
  <mergeCells count="8">
    <mergeCell ref="A85:E85"/>
    <mergeCell ref="A1:E1"/>
    <mergeCell ref="A2:E2"/>
    <mergeCell ref="A3:E3"/>
    <mergeCell ref="B8:E8"/>
    <mergeCell ref="A83:E83"/>
    <mergeCell ref="A78:E78"/>
    <mergeCell ref="A80:E80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J60"/>
  <sheetViews>
    <sheetView topLeftCell="A46" workbookViewId="0">
      <selection activeCell="M59" sqref="M59"/>
    </sheetView>
  </sheetViews>
  <sheetFormatPr defaultRowHeight="15" x14ac:dyDescent="0.25"/>
  <cols>
    <col min="1" max="1" width="23.7109375" customWidth="1"/>
    <col min="2" max="2" width="11.85546875" customWidth="1"/>
    <col min="3" max="8" width="0" hidden="1" customWidth="1"/>
    <col min="10" max="10" width="10.42578125" bestFit="1" customWidth="1"/>
  </cols>
  <sheetData>
    <row r="1" spans="1:10" ht="18" x14ac:dyDescent="0.25">
      <c r="A1" s="100" t="s">
        <v>59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8" x14ac:dyDescent="0.25">
      <c r="A2" s="100" t="s">
        <v>235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x14ac:dyDescent="0.25">
      <c r="A3" s="101" t="s">
        <v>236</v>
      </c>
      <c r="B3" s="99"/>
      <c r="C3" s="99"/>
      <c r="D3" s="99"/>
      <c r="E3" s="99"/>
      <c r="F3" s="99"/>
      <c r="G3" s="99"/>
      <c r="H3" s="99"/>
      <c r="I3" s="99"/>
      <c r="J3" s="99"/>
    </row>
    <row r="5" spans="1:10" ht="36.75" x14ac:dyDescent="0.25">
      <c r="A5" s="1"/>
      <c r="B5" s="84" t="s">
        <v>191</v>
      </c>
      <c r="C5" s="84" t="s">
        <v>192</v>
      </c>
      <c r="D5" s="84" t="s">
        <v>193</v>
      </c>
      <c r="E5" s="84" t="s">
        <v>194</v>
      </c>
      <c r="F5" s="84" t="s">
        <v>195</v>
      </c>
      <c r="G5" s="84" t="s">
        <v>196</v>
      </c>
      <c r="H5" s="84" t="s">
        <v>197</v>
      </c>
      <c r="I5" s="84" t="s">
        <v>207</v>
      </c>
      <c r="J5" s="84" t="s">
        <v>125</v>
      </c>
    </row>
    <row r="6" spans="1:10" x14ac:dyDescent="0.25">
      <c r="A6" s="3" t="s">
        <v>120</v>
      </c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25">
      <c r="A7" s="3" t="s">
        <v>119</v>
      </c>
      <c r="B7" s="2"/>
      <c r="C7" s="2"/>
      <c r="D7" s="2"/>
      <c r="E7" s="2"/>
      <c r="F7" s="2"/>
      <c r="G7" s="2"/>
      <c r="H7" s="2"/>
      <c r="I7" s="5">
        <f t="shared" ref="I7:I16" si="0">((F7)+(G7))+(H7)</f>
        <v>0</v>
      </c>
      <c r="J7" s="5">
        <f t="shared" ref="J7:J16" si="1">((((B7)+(C7))+(D7))+(E7))+(I7)</f>
        <v>0</v>
      </c>
    </row>
    <row r="8" spans="1:10" ht="15" customHeight="1" x14ac:dyDescent="0.25">
      <c r="A8" s="3" t="s">
        <v>118</v>
      </c>
      <c r="B8" s="2"/>
      <c r="C8" s="2"/>
      <c r="D8" s="2"/>
      <c r="E8" s="2"/>
      <c r="F8" s="5">
        <f>7.4</f>
        <v>7.4</v>
      </c>
      <c r="G8" s="2"/>
      <c r="H8" s="2"/>
      <c r="I8" s="5">
        <f t="shared" si="0"/>
        <v>7.4</v>
      </c>
      <c r="J8" s="5">
        <f t="shared" si="1"/>
        <v>7.4</v>
      </c>
    </row>
    <row r="9" spans="1:10" ht="15" customHeight="1" x14ac:dyDescent="0.25">
      <c r="A9" s="3" t="s">
        <v>117</v>
      </c>
      <c r="B9" s="2"/>
      <c r="C9" s="2"/>
      <c r="D9" s="2"/>
      <c r="E9" s="2"/>
      <c r="F9" s="2"/>
      <c r="G9" s="2"/>
      <c r="H9" s="2"/>
      <c r="I9" s="5">
        <f t="shared" si="0"/>
        <v>0</v>
      </c>
      <c r="J9" s="5">
        <f t="shared" si="1"/>
        <v>0</v>
      </c>
    </row>
    <row r="10" spans="1:10" ht="15" customHeight="1" x14ac:dyDescent="0.25">
      <c r="A10" s="3" t="s">
        <v>116</v>
      </c>
      <c r="B10" s="2"/>
      <c r="C10" s="2"/>
      <c r="D10" s="2"/>
      <c r="E10" s="2"/>
      <c r="F10" s="5">
        <f>36576.07</f>
        <v>36576.07</v>
      </c>
      <c r="G10" s="2"/>
      <c r="H10" s="2"/>
      <c r="I10" s="5">
        <f t="shared" si="0"/>
        <v>36576.07</v>
      </c>
      <c r="J10" s="5">
        <f t="shared" si="1"/>
        <v>36576.07</v>
      </c>
    </row>
    <row r="11" spans="1:10" ht="15" customHeight="1" x14ac:dyDescent="0.25">
      <c r="A11" s="3" t="s">
        <v>187</v>
      </c>
      <c r="B11" s="4">
        <f t="shared" ref="B11:H11" si="2">(B9)+(B10)</f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36576.07</v>
      </c>
      <c r="G11" s="4">
        <f t="shared" si="2"/>
        <v>0</v>
      </c>
      <c r="H11" s="4">
        <f t="shared" si="2"/>
        <v>0</v>
      </c>
      <c r="I11" s="4">
        <f t="shared" si="0"/>
        <v>36576.07</v>
      </c>
      <c r="J11" s="4">
        <f t="shared" si="1"/>
        <v>36576.07</v>
      </c>
    </row>
    <row r="12" spans="1:10" ht="15" customHeight="1" x14ac:dyDescent="0.25">
      <c r="A12" s="3" t="s">
        <v>188</v>
      </c>
      <c r="B12" s="5">
        <f>4166.67</f>
        <v>4166.67</v>
      </c>
      <c r="C12" s="2"/>
      <c r="D12" s="2"/>
      <c r="E12" s="2"/>
      <c r="F12" s="2"/>
      <c r="G12" s="2"/>
      <c r="H12" s="2"/>
      <c r="I12" s="5">
        <f t="shared" si="0"/>
        <v>0</v>
      </c>
      <c r="J12" s="5">
        <f t="shared" si="1"/>
        <v>4166.67</v>
      </c>
    </row>
    <row r="13" spans="1:10" ht="15" customHeight="1" x14ac:dyDescent="0.25">
      <c r="A13" s="3" t="s">
        <v>115</v>
      </c>
      <c r="B13" s="4">
        <f t="shared" ref="B13:H13" si="3">(((B7)+(B8))+(B11))+(B12)</f>
        <v>4166.67</v>
      </c>
      <c r="C13" s="4">
        <f t="shared" si="3"/>
        <v>0</v>
      </c>
      <c r="D13" s="4">
        <f t="shared" si="3"/>
        <v>0</v>
      </c>
      <c r="E13" s="4">
        <f t="shared" si="3"/>
        <v>0</v>
      </c>
      <c r="F13" s="4">
        <f t="shared" si="3"/>
        <v>36583.47</v>
      </c>
      <c r="G13" s="4">
        <f t="shared" si="3"/>
        <v>0</v>
      </c>
      <c r="H13" s="4">
        <f t="shared" si="3"/>
        <v>0</v>
      </c>
      <c r="I13" s="4">
        <f t="shared" si="0"/>
        <v>36583.47</v>
      </c>
      <c r="J13" s="4">
        <f t="shared" si="1"/>
        <v>40750.14</v>
      </c>
    </row>
    <row r="14" spans="1:10" ht="15" customHeight="1" x14ac:dyDescent="0.25">
      <c r="A14" s="3" t="s">
        <v>114</v>
      </c>
      <c r="B14" s="2"/>
      <c r="C14" s="2"/>
      <c r="D14" s="2"/>
      <c r="E14" s="2"/>
      <c r="F14" s="5">
        <f>87.16</f>
        <v>87.16</v>
      </c>
      <c r="G14" s="2"/>
      <c r="H14" s="2"/>
      <c r="I14" s="5">
        <f t="shared" si="0"/>
        <v>87.16</v>
      </c>
      <c r="J14" s="5">
        <f t="shared" si="1"/>
        <v>87.16</v>
      </c>
    </row>
    <row r="15" spans="1:10" ht="15" customHeight="1" x14ac:dyDescent="0.25">
      <c r="A15" s="3" t="s">
        <v>113</v>
      </c>
      <c r="B15" s="4">
        <f t="shared" ref="B15:H15" si="4">(B13)+(B14)</f>
        <v>4166.67</v>
      </c>
      <c r="C15" s="4">
        <f t="shared" si="4"/>
        <v>0</v>
      </c>
      <c r="D15" s="4">
        <f t="shared" si="4"/>
        <v>0</v>
      </c>
      <c r="E15" s="4">
        <f t="shared" si="4"/>
        <v>0</v>
      </c>
      <c r="F15" s="4">
        <f t="shared" si="4"/>
        <v>36670.630000000005</v>
      </c>
      <c r="G15" s="4">
        <f t="shared" si="4"/>
        <v>0</v>
      </c>
      <c r="H15" s="4">
        <f t="shared" si="4"/>
        <v>0</v>
      </c>
      <c r="I15" s="4">
        <f t="shared" si="0"/>
        <v>36670.630000000005</v>
      </c>
      <c r="J15" s="4">
        <f t="shared" si="1"/>
        <v>40837.300000000003</v>
      </c>
    </row>
    <row r="16" spans="1:10" ht="15" customHeight="1" x14ac:dyDescent="0.25">
      <c r="A16" s="3" t="s">
        <v>112</v>
      </c>
      <c r="B16" s="4">
        <f t="shared" ref="B16:H16" si="5">(B15)-(0)</f>
        <v>4166.67</v>
      </c>
      <c r="C16" s="4">
        <f t="shared" si="5"/>
        <v>0</v>
      </c>
      <c r="D16" s="4">
        <f t="shared" si="5"/>
        <v>0</v>
      </c>
      <c r="E16" s="4">
        <f t="shared" si="5"/>
        <v>0</v>
      </c>
      <c r="F16" s="4">
        <f t="shared" si="5"/>
        <v>36670.630000000005</v>
      </c>
      <c r="G16" s="4">
        <f t="shared" si="5"/>
        <v>0</v>
      </c>
      <c r="H16" s="4">
        <f t="shared" si="5"/>
        <v>0</v>
      </c>
      <c r="I16" s="4">
        <f t="shared" si="0"/>
        <v>36670.630000000005</v>
      </c>
      <c r="J16" s="4">
        <f t="shared" si="1"/>
        <v>40837.300000000003</v>
      </c>
    </row>
    <row r="17" spans="1:10" ht="15" customHeight="1" x14ac:dyDescent="0.25">
      <c r="A17" s="3" t="s">
        <v>111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 x14ac:dyDescent="0.25">
      <c r="A18" s="3" t="s">
        <v>182</v>
      </c>
      <c r="B18" s="5">
        <f>425</f>
        <v>425</v>
      </c>
      <c r="C18" s="2"/>
      <c r="D18" s="2"/>
      <c r="E18" s="2"/>
      <c r="F18" s="2"/>
      <c r="G18" s="2"/>
      <c r="H18" s="2"/>
      <c r="I18" s="5">
        <f t="shared" ref="I18:I42" si="6">((F18)+(G18))+(H18)</f>
        <v>0</v>
      </c>
      <c r="J18" s="5">
        <f t="shared" ref="J18:J42" si="7">((((B18)+(C18))+(D18))+(E18))+(I18)</f>
        <v>425</v>
      </c>
    </row>
    <row r="19" spans="1:10" ht="15" customHeight="1" x14ac:dyDescent="0.25">
      <c r="A19" s="3" t="s">
        <v>110</v>
      </c>
      <c r="B19" s="2"/>
      <c r="C19" s="2"/>
      <c r="D19" s="2"/>
      <c r="E19" s="5">
        <f>4.35</f>
        <v>4.3499999999999996</v>
      </c>
      <c r="F19" s="2"/>
      <c r="G19" s="5">
        <f>114.99</f>
        <v>114.99</v>
      </c>
      <c r="H19" s="2"/>
      <c r="I19" s="5">
        <f t="shared" si="6"/>
        <v>114.99</v>
      </c>
      <c r="J19" s="5">
        <f t="shared" si="7"/>
        <v>119.33999999999999</v>
      </c>
    </row>
    <row r="20" spans="1:10" ht="15" customHeight="1" x14ac:dyDescent="0.25">
      <c r="A20" s="3" t="s">
        <v>107</v>
      </c>
      <c r="B20" s="5">
        <f>313.93</f>
        <v>313.93</v>
      </c>
      <c r="C20" s="2"/>
      <c r="D20" s="2"/>
      <c r="E20" s="2"/>
      <c r="F20" s="2"/>
      <c r="G20" s="2"/>
      <c r="H20" s="2"/>
      <c r="I20" s="5">
        <f t="shared" si="6"/>
        <v>0</v>
      </c>
      <c r="J20" s="5">
        <f t="shared" si="7"/>
        <v>313.93</v>
      </c>
    </row>
    <row r="21" spans="1:10" ht="15" customHeight="1" x14ac:dyDescent="0.25">
      <c r="A21" s="3" t="s">
        <v>209</v>
      </c>
      <c r="B21" s="5">
        <f>300</f>
        <v>300</v>
      </c>
      <c r="C21" s="2"/>
      <c r="D21" s="2"/>
      <c r="E21" s="2"/>
      <c r="F21" s="2"/>
      <c r="G21" s="2"/>
      <c r="H21" s="5">
        <f>1700</f>
        <v>1700</v>
      </c>
      <c r="I21" s="5">
        <f t="shared" si="6"/>
        <v>1700</v>
      </c>
      <c r="J21" s="5">
        <f t="shared" si="7"/>
        <v>2000</v>
      </c>
    </row>
    <row r="22" spans="1:10" ht="15" customHeight="1" x14ac:dyDescent="0.25">
      <c r="A22" s="3" t="s">
        <v>103</v>
      </c>
      <c r="B22" s="2"/>
      <c r="C22" s="2"/>
      <c r="D22" s="2"/>
      <c r="E22" s="2"/>
      <c r="F22" s="2"/>
      <c r="G22" s="2"/>
      <c r="H22" s="2"/>
      <c r="I22" s="5">
        <f t="shared" si="6"/>
        <v>0</v>
      </c>
      <c r="J22" s="5">
        <f t="shared" si="7"/>
        <v>0</v>
      </c>
    </row>
    <row r="23" spans="1:10" ht="15" customHeight="1" x14ac:dyDescent="0.25">
      <c r="A23" s="3" t="s">
        <v>102</v>
      </c>
      <c r="B23" s="5">
        <f>470</f>
        <v>470</v>
      </c>
      <c r="C23" s="2"/>
      <c r="D23" s="2"/>
      <c r="E23" s="2"/>
      <c r="F23" s="2"/>
      <c r="G23" s="2"/>
      <c r="H23" s="2"/>
      <c r="I23" s="5">
        <f t="shared" si="6"/>
        <v>0</v>
      </c>
      <c r="J23" s="5">
        <f t="shared" si="7"/>
        <v>470</v>
      </c>
    </row>
    <row r="24" spans="1:10" ht="15" customHeight="1" x14ac:dyDescent="0.25">
      <c r="A24" s="3" t="s">
        <v>101</v>
      </c>
      <c r="B24" s="5">
        <f>4419.25</f>
        <v>4419.25</v>
      </c>
      <c r="C24" s="2"/>
      <c r="D24" s="2"/>
      <c r="E24" s="2"/>
      <c r="F24" s="2"/>
      <c r="G24" s="5">
        <f>3354.95</f>
        <v>3354.95</v>
      </c>
      <c r="H24" s="2"/>
      <c r="I24" s="5">
        <f t="shared" si="6"/>
        <v>3354.95</v>
      </c>
      <c r="J24" s="5">
        <f t="shared" si="7"/>
        <v>7774.2</v>
      </c>
    </row>
    <row r="25" spans="1:10" ht="15" customHeight="1" x14ac:dyDescent="0.25">
      <c r="A25" s="3" t="s">
        <v>99</v>
      </c>
      <c r="B25" s="5">
        <f>378.57</f>
        <v>378.57</v>
      </c>
      <c r="C25" s="2"/>
      <c r="D25" s="2"/>
      <c r="E25" s="2"/>
      <c r="F25" s="2"/>
      <c r="G25" s="5">
        <f>514.76</f>
        <v>514.76</v>
      </c>
      <c r="H25" s="2"/>
      <c r="I25" s="5">
        <f t="shared" si="6"/>
        <v>514.76</v>
      </c>
      <c r="J25" s="5">
        <f t="shared" si="7"/>
        <v>893.32999999999993</v>
      </c>
    </row>
    <row r="26" spans="1:10" ht="15" customHeight="1" x14ac:dyDescent="0.25">
      <c r="A26" s="3" t="s">
        <v>98</v>
      </c>
      <c r="B26" s="4">
        <f t="shared" ref="B26:H26" si="8">(((B22)+(B23))+(B24))+(B25)</f>
        <v>5267.82</v>
      </c>
      <c r="C26" s="4">
        <f t="shared" si="8"/>
        <v>0</v>
      </c>
      <c r="D26" s="4">
        <f t="shared" si="8"/>
        <v>0</v>
      </c>
      <c r="E26" s="4">
        <f t="shared" si="8"/>
        <v>0</v>
      </c>
      <c r="F26" s="4">
        <f t="shared" si="8"/>
        <v>0</v>
      </c>
      <c r="G26" s="4">
        <f t="shared" si="8"/>
        <v>3869.71</v>
      </c>
      <c r="H26" s="4">
        <f t="shared" si="8"/>
        <v>0</v>
      </c>
      <c r="I26" s="4">
        <f t="shared" si="6"/>
        <v>3869.71</v>
      </c>
      <c r="J26" s="4">
        <f t="shared" si="7"/>
        <v>9137.5299999999988</v>
      </c>
    </row>
    <row r="27" spans="1:10" ht="15" customHeight="1" x14ac:dyDescent="0.25">
      <c r="A27" s="3" t="s">
        <v>97</v>
      </c>
      <c r="B27" s="2"/>
      <c r="C27" s="2"/>
      <c r="D27" s="2"/>
      <c r="E27" s="2"/>
      <c r="F27" s="2"/>
      <c r="G27" s="2"/>
      <c r="H27" s="2"/>
      <c r="I27" s="5">
        <f t="shared" si="6"/>
        <v>0</v>
      </c>
      <c r="J27" s="5">
        <f t="shared" si="7"/>
        <v>0</v>
      </c>
    </row>
    <row r="28" spans="1:10" ht="15" customHeight="1" x14ac:dyDescent="0.25">
      <c r="A28" s="3" t="s">
        <v>96</v>
      </c>
      <c r="B28" s="5">
        <f>220</f>
        <v>220</v>
      </c>
      <c r="C28" s="2"/>
      <c r="D28" s="2"/>
      <c r="E28" s="2"/>
      <c r="F28" s="2"/>
      <c r="G28" s="5">
        <f>1980</f>
        <v>1980</v>
      </c>
      <c r="H28" s="2"/>
      <c r="I28" s="5">
        <f t="shared" si="6"/>
        <v>1980</v>
      </c>
      <c r="J28" s="5">
        <f t="shared" si="7"/>
        <v>2200</v>
      </c>
    </row>
    <row r="29" spans="1:10" ht="15" customHeight="1" x14ac:dyDescent="0.25">
      <c r="A29" s="3" t="s">
        <v>93</v>
      </c>
      <c r="B29" s="4">
        <f t="shared" ref="B29:H29" si="9">(B27)+(B28)</f>
        <v>220</v>
      </c>
      <c r="C29" s="4">
        <f t="shared" si="9"/>
        <v>0</v>
      </c>
      <c r="D29" s="4">
        <f t="shared" si="9"/>
        <v>0</v>
      </c>
      <c r="E29" s="4">
        <f t="shared" si="9"/>
        <v>0</v>
      </c>
      <c r="F29" s="4">
        <f t="shared" si="9"/>
        <v>0</v>
      </c>
      <c r="G29" s="4">
        <f t="shared" si="9"/>
        <v>1980</v>
      </c>
      <c r="H29" s="4">
        <f t="shared" si="9"/>
        <v>0</v>
      </c>
      <c r="I29" s="4">
        <f t="shared" si="6"/>
        <v>1980</v>
      </c>
      <c r="J29" s="4">
        <f t="shared" si="7"/>
        <v>2200</v>
      </c>
    </row>
    <row r="30" spans="1:10" ht="15" customHeight="1" x14ac:dyDescent="0.25">
      <c r="A30" s="3" t="s">
        <v>89</v>
      </c>
      <c r="B30" s="2"/>
      <c r="C30" s="2"/>
      <c r="D30" s="2"/>
      <c r="E30" s="2"/>
      <c r="F30" s="2"/>
      <c r="G30" s="2"/>
      <c r="H30" s="2"/>
      <c r="I30" s="5">
        <f t="shared" si="6"/>
        <v>0</v>
      </c>
      <c r="J30" s="5">
        <f t="shared" si="7"/>
        <v>0</v>
      </c>
    </row>
    <row r="31" spans="1:10" ht="15" customHeight="1" x14ac:dyDescent="0.25">
      <c r="A31" s="3" t="s">
        <v>88</v>
      </c>
      <c r="B31" s="2"/>
      <c r="C31" s="2"/>
      <c r="D31" s="2"/>
      <c r="E31" s="2"/>
      <c r="F31" s="2"/>
      <c r="G31" s="5">
        <f>30.5</f>
        <v>30.5</v>
      </c>
      <c r="H31" s="2"/>
      <c r="I31" s="5">
        <f t="shared" si="6"/>
        <v>30.5</v>
      </c>
      <c r="J31" s="5">
        <f t="shared" si="7"/>
        <v>30.5</v>
      </c>
    </row>
    <row r="32" spans="1:10" ht="15" customHeight="1" x14ac:dyDescent="0.25">
      <c r="A32" s="3" t="s">
        <v>87</v>
      </c>
      <c r="B32" s="5">
        <f>66.67</f>
        <v>66.67</v>
      </c>
      <c r="C32" s="2"/>
      <c r="D32" s="2"/>
      <c r="E32" s="2"/>
      <c r="F32" s="2"/>
      <c r="G32" s="2"/>
      <c r="H32" s="2"/>
      <c r="I32" s="5">
        <f t="shared" si="6"/>
        <v>0</v>
      </c>
      <c r="J32" s="5">
        <f t="shared" si="7"/>
        <v>66.67</v>
      </c>
    </row>
    <row r="33" spans="1:10" ht="15" customHeight="1" x14ac:dyDescent="0.25">
      <c r="A33" s="3" t="s">
        <v>86</v>
      </c>
      <c r="B33" s="5">
        <f>138.33</f>
        <v>138.33000000000001</v>
      </c>
      <c r="C33" s="2"/>
      <c r="D33" s="2"/>
      <c r="E33" s="2"/>
      <c r="F33" s="2"/>
      <c r="G33" s="2"/>
      <c r="H33" s="2"/>
      <c r="I33" s="5">
        <f t="shared" si="6"/>
        <v>0</v>
      </c>
      <c r="J33" s="5">
        <f t="shared" si="7"/>
        <v>138.33000000000001</v>
      </c>
    </row>
    <row r="34" spans="1:10" ht="15" customHeight="1" x14ac:dyDescent="0.25">
      <c r="A34" s="3" t="s">
        <v>85</v>
      </c>
      <c r="B34" s="2"/>
      <c r="C34" s="2"/>
      <c r="D34" s="2"/>
      <c r="E34" s="2"/>
      <c r="F34" s="2"/>
      <c r="G34" s="5">
        <f>500</f>
        <v>500</v>
      </c>
      <c r="H34" s="2"/>
      <c r="I34" s="5">
        <f t="shared" si="6"/>
        <v>500</v>
      </c>
      <c r="J34" s="5">
        <f t="shared" si="7"/>
        <v>500</v>
      </c>
    </row>
    <row r="35" spans="1:10" ht="15" customHeight="1" x14ac:dyDescent="0.25">
      <c r="A35" s="3" t="s">
        <v>83</v>
      </c>
      <c r="B35" s="5">
        <f>15.99</f>
        <v>15.99</v>
      </c>
      <c r="C35" s="2"/>
      <c r="D35" s="2"/>
      <c r="E35" s="2"/>
      <c r="F35" s="2"/>
      <c r="G35" s="5">
        <f>74.42</f>
        <v>74.42</v>
      </c>
      <c r="H35" s="2"/>
      <c r="I35" s="5">
        <f t="shared" si="6"/>
        <v>74.42</v>
      </c>
      <c r="J35" s="5">
        <f t="shared" si="7"/>
        <v>90.41</v>
      </c>
    </row>
    <row r="36" spans="1:10" ht="15" customHeight="1" x14ac:dyDescent="0.25">
      <c r="A36" s="3" t="s">
        <v>82</v>
      </c>
      <c r="B36" s="4">
        <f t="shared" ref="B36:H36" si="10">(((((B30)+(B31))+(B32))+(B33))+(B34))+(B35)</f>
        <v>220.99</v>
      </c>
      <c r="C36" s="4">
        <f t="shared" si="10"/>
        <v>0</v>
      </c>
      <c r="D36" s="4">
        <f t="shared" si="10"/>
        <v>0</v>
      </c>
      <c r="E36" s="4">
        <f t="shared" si="10"/>
        <v>0</v>
      </c>
      <c r="F36" s="4">
        <f t="shared" si="10"/>
        <v>0</v>
      </c>
      <c r="G36" s="4">
        <f t="shared" si="10"/>
        <v>604.91999999999996</v>
      </c>
      <c r="H36" s="4">
        <f t="shared" si="10"/>
        <v>0</v>
      </c>
      <c r="I36" s="4">
        <f t="shared" si="6"/>
        <v>604.91999999999996</v>
      </c>
      <c r="J36" s="4">
        <f t="shared" si="7"/>
        <v>825.91</v>
      </c>
    </row>
    <row r="37" spans="1:10" ht="15" customHeight="1" x14ac:dyDescent="0.25">
      <c r="A37" s="3" t="s">
        <v>81</v>
      </c>
      <c r="B37" s="2"/>
      <c r="C37" s="2"/>
      <c r="D37" s="2"/>
      <c r="E37" s="2"/>
      <c r="F37" s="2"/>
      <c r="G37" s="2"/>
      <c r="H37" s="2"/>
      <c r="I37" s="5">
        <f t="shared" si="6"/>
        <v>0</v>
      </c>
      <c r="J37" s="5">
        <f t="shared" si="7"/>
        <v>0</v>
      </c>
    </row>
    <row r="38" spans="1:10" ht="15" customHeight="1" x14ac:dyDescent="0.25">
      <c r="A38" s="3" t="s">
        <v>190</v>
      </c>
      <c r="B38" s="5">
        <f>437.5</f>
        <v>437.5</v>
      </c>
      <c r="C38" s="2"/>
      <c r="D38" s="2"/>
      <c r="E38" s="2"/>
      <c r="F38" s="2"/>
      <c r="G38" s="2"/>
      <c r="H38" s="2"/>
      <c r="I38" s="5">
        <f t="shared" si="6"/>
        <v>0</v>
      </c>
      <c r="J38" s="5">
        <f t="shared" si="7"/>
        <v>437.5</v>
      </c>
    </row>
    <row r="39" spans="1:10" ht="15" customHeight="1" x14ac:dyDescent="0.25">
      <c r="A39" s="3" t="s">
        <v>80</v>
      </c>
      <c r="B39" s="5">
        <f>543.75</f>
        <v>543.75</v>
      </c>
      <c r="C39" s="2"/>
      <c r="D39" s="2"/>
      <c r="E39" s="2"/>
      <c r="F39" s="2"/>
      <c r="G39" s="2"/>
      <c r="H39" s="2"/>
      <c r="I39" s="5">
        <f t="shared" si="6"/>
        <v>0</v>
      </c>
      <c r="J39" s="5">
        <f t="shared" si="7"/>
        <v>543.75</v>
      </c>
    </row>
    <row r="40" spans="1:10" ht="15" customHeight="1" x14ac:dyDescent="0.25">
      <c r="A40" s="3" t="s">
        <v>77</v>
      </c>
      <c r="B40" s="4">
        <f t="shared" ref="B40:H40" si="11">((B37)+(B38))+(B39)</f>
        <v>981.25</v>
      </c>
      <c r="C40" s="4">
        <f t="shared" si="11"/>
        <v>0</v>
      </c>
      <c r="D40" s="4">
        <f t="shared" si="11"/>
        <v>0</v>
      </c>
      <c r="E40" s="4">
        <f t="shared" si="11"/>
        <v>0</v>
      </c>
      <c r="F40" s="4">
        <f t="shared" si="11"/>
        <v>0</v>
      </c>
      <c r="G40" s="4">
        <f t="shared" si="11"/>
        <v>0</v>
      </c>
      <c r="H40" s="4">
        <f t="shared" si="11"/>
        <v>0</v>
      </c>
      <c r="I40" s="4">
        <f t="shared" si="6"/>
        <v>0</v>
      </c>
      <c r="J40" s="4">
        <f t="shared" si="7"/>
        <v>981.25</v>
      </c>
    </row>
    <row r="41" spans="1:10" ht="15" customHeight="1" x14ac:dyDescent="0.25">
      <c r="A41" s="3" t="s">
        <v>76</v>
      </c>
      <c r="B41" s="4">
        <f t="shared" ref="B41:H41" si="12">(((((((B18)+(B19))+(B20))+(B21))+(B26))+(B29))+(B36))+(B40)</f>
        <v>7728.99</v>
      </c>
      <c r="C41" s="4">
        <f t="shared" si="12"/>
        <v>0</v>
      </c>
      <c r="D41" s="4">
        <f t="shared" si="12"/>
        <v>0</v>
      </c>
      <c r="E41" s="4">
        <f t="shared" si="12"/>
        <v>4.3499999999999996</v>
      </c>
      <c r="F41" s="4">
        <f t="shared" si="12"/>
        <v>0</v>
      </c>
      <c r="G41" s="4">
        <f t="shared" si="12"/>
        <v>6569.62</v>
      </c>
      <c r="H41" s="4">
        <f t="shared" si="12"/>
        <v>1700</v>
      </c>
      <c r="I41" s="4">
        <f t="shared" si="6"/>
        <v>8269.619999999999</v>
      </c>
      <c r="J41" s="4">
        <f t="shared" si="7"/>
        <v>16002.96</v>
      </c>
    </row>
    <row r="42" spans="1:10" ht="15" customHeight="1" x14ac:dyDescent="0.25">
      <c r="A42" s="3" t="s">
        <v>75</v>
      </c>
      <c r="B42" s="93">
        <f t="shared" ref="B42:H42" si="13">(B16)-(B41)</f>
        <v>-3562.3199999999997</v>
      </c>
      <c r="C42" s="93">
        <f t="shared" si="13"/>
        <v>0</v>
      </c>
      <c r="D42" s="93">
        <f t="shared" si="13"/>
        <v>0</v>
      </c>
      <c r="E42" s="93">
        <f t="shared" si="13"/>
        <v>-4.3499999999999996</v>
      </c>
      <c r="F42" s="93">
        <f t="shared" si="13"/>
        <v>36670.630000000005</v>
      </c>
      <c r="G42" s="93">
        <f t="shared" si="13"/>
        <v>-6569.62</v>
      </c>
      <c r="H42" s="93">
        <f t="shared" si="13"/>
        <v>-1700</v>
      </c>
      <c r="I42" s="93">
        <f t="shared" si="6"/>
        <v>28401.010000000006</v>
      </c>
      <c r="J42" s="93">
        <f t="shared" si="7"/>
        <v>24834.340000000007</v>
      </c>
    </row>
    <row r="43" spans="1:10" ht="15" customHeight="1" x14ac:dyDescent="0.25">
      <c r="A43" s="3" t="s">
        <v>74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ht="15" customHeight="1" x14ac:dyDescent="0.25">
      <c r="A44" s="3" t="s">
        <v>73</v>
      </c>
      <c r="B44" s="2"/>
      <c r="C44" s="5">
        <f>0</f>
        <v>0</v>
      </c>
      <c r="D44" s="5">
        <f>67865.22</f>
        <v>67865.22</v>
      </c>
      <c r="E44" s="5">
        <f>16276</f>
        <v>16276</v>
      </c>
      <c r="F44" s="2"/>
      <c r="G44" s="2"/>
      <c r="H44" s="2"/>
      <c r="I44" s="5">
        <f t="shared" ref="I44:I51" si="14">((F44)+(G44))+(H44)</f>
        <v>0</v>
      </c>
      <c r="J44" s="5">
        <f t="shared" ref="J44:J51" si="15">((((B44)+(C44))+(D44))+(E44))+(I44)</f>
        <v>84141.22</v>
      </c>
    </row>
    <row r="45" spans="1:10" ht="15" customHeight="1" x14ac:dyDescent="0.25">
      <c r="A45" s="3" t="s">
        <v>72</v>
      </c>
      <c r="B45" s="2"/>
      <c r="C45" s="2"/>
      <c r="D45" s="2"/>
      <c r="E45" s="2"/>
      <c r="F45" s="2"/>
      <c r="G45" s="2"/>
      <c r="H45" s="2"/>
      <c r="I45" s="5">
        <f t="shared" si="14"/>
        <v>0</v>
      </c>
      <c r="J45" s="5">
        <f t="shared" si="15"/>
        <v>0</v>
      </c>
    </row>
    <row r="46" spans="1:10" ht="15" customHeight="1" x14ac:dyDescent="0.25">
      <c r="A46" s="3" t="s">
        <v>71</v>
      </c>
      <c r="B46" s="2"/>
      <c r="C46" s="5">
        <f>3601.63</f>
        <v>3601.63</v>
      </c>
      <c r="D46" s="5">
        <f>2950.51</f>
        <v>2950.51</v>
      </c>
      <c r="E46" s="5">
        <f>215.33</f>
        <v>215.33</v>
      </c>
      <c r="F46" s="2"/>
      <c r="G46" s="2"/>
      <c r="H46" s="2"/>
      <c r="I46" s="5">
        <f t="shared" si="14"/>
        <v>0</v>
      </c>
      <c r="J46" s="5">
        <f t="shared" si="15"/>
        <v>6767.47</v>
      </c>
    </row>
    <row r="47" spans="1:10" ht="15" customHeight="1" x14ac:dyDescent="0.25">
      <c r="A47" s="3" t="s">
        <v>180</v>
      </c>
      <c r="B47" s="2"/>
      <c r="C47" s="5">
        <f>0</f>
        <v>0</v>
      </c>
      <c r="D47" s="5">
        <f>0</f>
        <v>0</v>
      </c>
      <c r="E47" s="5">
        <f>0</f>
        <v>0</v>
      </c>
      <c r="F47" s="2"/>
      <c r="G47" s="2"/>
      <c r="H47" s="2"/>
      <c r="I47" s="5">
        <f t="shared" si="14"/>
        <v>0</v>
      </c>
      <c r="J47" s="5">
        <f t="shared" si="15"/>
        <v>0</v>
      </c>
    </row>
    <row r="48" spans="1:10" ht="15" customHeight="1" x14ac:dyDescent="0.25">
      <c r="A48" s="3" t="s">
        <v>70</v>
      </c>
      <c r="B48" s="2"/>
      <c r="C48" s="5">
        <f>137654.38</f>
        <v>137654.38</v>
      </c>
      <c r="D48" s="5">
        <f>112769.48</f>
        <v>112769.48</v>
      </c>
      <c r="E48" s="5">
        <f>8229.46</f>
        <v>8229.4599999999991</v>
      </c>
      <c r="F48" s="2"/>
      <c r="G48" s="2"/>
      <c r="H48" s="2"/>
      <c r="I48" s="5">
        <f t="shared" si="14"/>
        <v>0</v>
      </c>
      <c r="J48" s="5">
        <f t="shared" si="15"/>
        <v>258653.31999999998</v>
      </c>
    </row>
    <row r="49" spans="1:10" ht="15" customHeight="1" x14ac:dyDescent="0.25">
      <c r="A49" s="3" t="s">
        <v>69</v>
      </c>
      <c r="B49" s="2"/>
      <c r="C49" s="5">
        <f>-13642.52</f>
        <v>-13642.52</v>
      </c>
      <c r="D49" s="5">
        <f>-11783.6</f>
        <v>-11783.6</v>
      </c>
      <c r="E49" s="5">
        <f>0</f>
        <v>0</v>
      </c>
      <c r="F49" s="2"/>
      <c r="G49" s="2"/>
      <c r="H49" s="2"/>
      <c r="I49" s="5">
        <f t="shared" si="14"/>
        <v>0</v>
      </c>
      <c r="J49" s="5">
        <f t="shared" si="15"/>
        <v>-25426.120000000003</v>
      </c>
    </row>
    <row r="50" spans="1:10" ht="15" customHeight="1" x14ac:dyDescent="0.25">
      <c r="A50" s="3" t="s">
        <v>68</v>
      </c>
      <c r="B50" s="4">
        <f t="shared" ref="B50:H50" si="16">((((B45)+(B46))+(B47))+(B48))+(B49)</f>
        <v>0</v>
      </c>
      <c r="C50" s="4">
        <f t="shared" si="16"/>
        <v>127613.49</v>
      </c>
      <c r="D50" s="4">
        <f t="shared" si="16"/>
        <v>103936.38999999998</v>
      </c>
      <c r="E50" s="4">
        <f t="shared" si="16"/>
        <v>8444.7899999999991</v>
      </c>
      <c r="F50" s="4">
        <f t="shared" si="16"/>
        <v>0</v>
      </c>
      <c r="G50" s="4">
        <f t="shared" si="16"/>
        <v>0</v>
      </c>
      <c r="H50" s="4">
        <f t="shared" si="16"/>
        <v>0</v>
      </c>
      <c r="I50" s="4">
        <f t="shared" si="14"/>
        <v>0</v>
      </c>
      <c r="J50" s="4">
        <f t="shared" si="15"/>
        <v>239994.67</v>
      </c>
    </row>
    <row r="51" spans="1:10" ht="15" customHeight="1" x14ac:dyDescent="0.25">
      <c r="A51" s="3" t="s">
        <v>67</v>
      </c>
      <c r="B51" s="4">
        <f t="shared" ref="B51:H51" si="17">(B44)+(B50)</f>
        <v>0</v>
      </c>
      <c r="C51" s="4">
        <f t="shared" si="17"/>
        <v>127613.49</v>
      </c>
      <c r="D51" s="4">
        <f t="shared" si="17"/>
        <v>171801.61</v>
      </c>
      <c r="E51" s="4">
        <f t="shared" si="17"/>
        <v>24720.79</v>
      </c>
      <c r="F51" s="4">
        <f t="shared" si="17"/>
        <v>0</v>
      </c>
      <c r="G51" s="4">
        <f t="shared" si="17"/>
        <v>0</v>
      </c>
      <c r="H51" s="4">
        <f t="shared" si="17"/>
        <v>0</v>
      </c>
      <c r="I51" s="4">
        <f t="shared" si="14"/>
        <v>0</v>
      </c>
      <c r="J51" s="4">
        <f t="shared" si="15"/>
        <v>324135.88999999996</v>
      </c>
    </row>
    <row r="52" spans="1:10" ht="15" customHeight="1" x14ac:dyDescent="0.25">
      <c r="A52" s="3" t="s">
        <v>66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5">
      <c r="A53" s="3" t="s">
        <v>65</v>
      </c>
      <c r="B53" s="2"/>
      <c r="C53" s="2"/>
      <c r="D53" s="5">
        <f>48359</f>
        <v>48359</v>
      </c>
      <c r="E53" s="5">
        <f>14499.51</f>
        <v>14499.51</v>
      </c>
      <c r="F53" s="5">
        <f>-5000</f>
        <v>-5000</v>
      </c>
      <c r="G53" s="2"/>
      <c r="H53" s="2"/>
      <c r="I53" s="5">
        <f>((F53)+(G53))+(H53)</f>
        <v>-5000</v>
      </c>
      <c r="J53" s="5">
        <f>((((B53)+(C53))+(D53))+(E53))+(I53)</f>
        <v>57858.51</v>
      </c>
    </row>
    <row r="54" spans="1:10" ht="15" customHeight="1" x14ac:dyDescent="0.25">
      <c r="A54" s="3" t="s">
        <v>64</v>
      </c>
      <c r="B54" s="4">
        <f t="shared" ref="B54:H54" si="18">B53</f>
        <v>0</v>
      </c>
      <c r="C54" s="4">
        <f t="shared" si="18"/>
        <v>0</v>
      </c>
      <c r="D54" s="4">
        <f t="shared" si="18"/>
        <v>48359</v>
      </c>
      <c r="E54" s="4">
        <f t="shared" si="18"/>
        <v>14499.51</v>
      </c>
      <c r="F54" s="4">
        <f t="shared" si="18"/>
        <v>-5000</v>
      </c>
      <c r="G54" s="4">
        <f t="shared" si="18"/>
        <v>0</v>
      </c>
      <c r="H54" s="4">
        <f t="shared" si="18"/>
        <v>0</v>
      </c>
      <c r="I54" s="4">
        <f>((F54)+(G54))+(H54)</f>
        <v>-5000</v>
      </c>
      <c r="J54" s="4">
        <f>((((B54)+(C54))+(D54))+(E54))+(I54)</f>
        <v>57858.51</v>
      </c>
    </row>
    <row r="55" spans="1:10" ht="15" customHeight="1" x14ac:dyDescent="0.25">
      <c r="A55" s="3" t="s">
        <v>63</v>
      </c>
      <c r="B55" s="4">
        <f t="shared" ref="B55:H55" si="19">(B51)-(B54)</f>
        <v>0</v>
      </c>
      <c r="C55" s="4">
        <f t="shared" si="19"/>
        <v>127613.49</v>
      </c>
      <c r="D55" s="4">
        <f t="shared" si="19"/>
        <v>123442.60999999999</v>
      </c>
      <c r="E55" s="4">
        <f t="shared" si="19"/>
        <v>10221.280000000001</v>
      </c>
      <c r="F55" s="4">
        <f t="shared" si="19"/>
        <v>5000</v>
      </c>
      <c r="G55" s="4">
        <f t="shared" si="19"/>
        <v>0</v>
      </c>
      <c r="H55" s="4">
        <f t="shared" si="19"/>
        <v>0</v>
      </c>
      <c r="I55" s="4">
        <f>((F55)+(G55))+(H55)</f>
        <v>5000</v>
      </c>
      <c r="J55" s="4">
        <f>((((B55)+(C55))+(D55))+(E55))+(I55)</f>
        <v>266277.38</v>
      </c>
    </row>
    <row r="56" spans="1:10" ht="15" customHeight="1" x14ac:dyDescent="0.25">
      <c r="A56" s="3" t="s">
        <v>62</v>
      </c>
      <c r="B56" s="4">
        <f t="shared" ref="B56:H56" si="20">(B42)+(B55)</f>
        <v>-3562.3199999999997</v>
      </c>
      <c r="C56" s="4">
        <f t="shared" si="20"/>
        <v>127613.49</v>
      </c>
      <c r="D56" s="4">
        <f t="shared" si="20"/>
        <v>123442.60999999999</v>
      </c>
      <c r="E56" s="4">
        <f t="shared" si="20"/>
        <v>10216.93</v>
      </c>
      <c r="F56" s="4">
        <f t="shared" si="20"/>
        <v>41670.630000000005</v>
      </c>
      <c r="G56" s="4">
        <f t="shared" si="20"/>
        <v>-6569.62</v>
      </c>
      <c r="H56" s="4">
        <f t="shared" si="20"/>
        <v>-1700</v>
      </c>
      <c r="I56" s="4">
        <f>((F56)+(G56))+(H56)</f>
        <v>33401.01</v>
      </c>
      <c r="J56" s="4">
        <f>((((B56)+(C56))+(D56))+(E56))+(I56)</f>
        <v>291111.71999999997</v>
      </c>
    </row>
    <row r="57" spans="1:10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104" t="s">
        <v>61</v>
      </c>
      <c r="B58" s="104"/>
      <c r="C58" s="104"/>
      <c r="D58" s="104"/>
      <c r="E58" s="104"/>
      <c r="F58" s="104"/>
      <c r="G58" s="104"/>
      <c r="H58" s="104"/>
      <c r="I58" s="104"/>
      <c r="J58" s="104"/>
    </row>
    <row r="60" spans="1:10" x14ac:dyDescent="0.25">
      <c r="A60" s="98" t="s">
        <v>237</v>
      </c>
      <c r="B60" s="99"/>
      <c r="C60" s="99"/>
      <c r="D60" s="99"/>
      <c r="E60" s="99"/>
      <c r="F60" s="99"/>
      <c r="G60" s="99"/>
      <c r="H60" s="99"/>
      <c r="I60" s="99"/>
      <c r="J60" s="99"/>
    </row>
  </sheetData>
  <mergeCells count="5">
    <mergeCell ref="A1:J1"/>
    <mergeCell ref="A2:J2"/>
    <mergeCell ref="A3:J3"/>
    <mergeCell ref="A58:J58"/>
    <mergeCell ref="A60:J6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activeCell="B7" sqref="B7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00" t="s">
        <v>59</v>
      </c>
      <c r="B1" s="99"/>
      <c r="C1" s="99"/>
      <c r="D1" s="99"/>
      <c r="E1" s="99"/>
      <c r="F1" s="99"/>
      <c r="G1" s="99"/>
    </row>
    <row r="2" spans="1:7" ht="18" x14ac:dyDescent="0.25">
      <c r="A2" s="100" t="s">
        <v>131</v>
      </c>
      <c r="B2" s="99"/>
      <c r="C2" s="99"/>
      <c r="D2" s="99"/>
      <c r="E2" s="99"/>
      <c r="F2" s="99"/>
      <c r="G2" s="99"/>
    </row>
    <row r="3" spans="1:7" x14ac:dyDescent="0.25">
      <c r="A3" s="101" t="s">
        <v>217</v>
      </c>
      <c r="B3" s="99"/>
      <c r="C3" s="99"/>
      <c r="D3" s="99"/>
      <c r="E3" s="99"/>
      <c r="F3" s="99"/>
      <c r="G3" s="99"/>
    </row>
    <row r="5" spans="1:7" x14ac:dyDescent="0.25">
      <c r="A5" s="1"/>
      <c r="B5" s="84" t="s">
        <v>130</v>
      </c>
      <c r="C5" s="84" t="s">
        <v>129</v>
      </c>
      <c r="D5" s="84" t="s">
        <v>128</v>
      </c>
      <c r="E5" s="84" t="s">
        <v>127</v>
      </c>
      <c r="F5" s="84" t="s">
        <v>126</v>
      </c>
      <c r="G5" s="84" t="s">
        <v>0</v>
      </c>
    </row>
    <row r="6" spans="1:7" x14ac:dyDescent="0.25">
      <c r="A6" s="3" t="s">
        <v>231</v>
      </c>
      <c r="B6" s="5">
        <f>2000</f>
        <v>2000</v>
      </c>
      <c r="C6" s="2"/>
      <c r="D6" s="2"/>
      <c r="E6" s="2"/>
      <c r="F6" s="2"/>
      <c r="G6" s="5">
        <f t="shared" ref="G6:G11" si="0">((((B6)+(C6))+(D6))+(E6))+(F6)</f>
        <v>2000</v>
      </c>
    </row>
    <row r="7" spans="1:7" x14ac:dyDescent="0.25">
      <c r="A7" s="3" t="s">
        <v>232</v>
      </c>
      <c r="B7" s="2"/>
      <c r="C7" s="5">
        <f>543.75</f>
        <v>543.75</v>
      </c>
      <c r="D7" s="2"/>
      <c r="E7" s="2"/>
      <c r="F7" s="2"/>
      <c r="G7" s="5">
        <f t="shared" si="0"/>
        <v>543.75</v>
      </c>
    </row>
    <row r="8" spans="1:7" x14ac:dyDescent="0.25">
      <c r="A8" s="3" t="s">
        <v>198</v>
      </c>
      <c r="B8" s="5">
        <f>240</f>
        <v>240</v>
      </c>
      <c r="C8" s="2"/>
      <c r="D8" s="2"/>
      <c r="E8" s="2"/>
      <c r="F8" s="2"/>
      <c r="G8" s="5">
        <f t="shared" si="0"/>
        <v>240</v>
      </c>
    </row>
    <row r="9" spans="1:7" x14ac:dyDescent="0.25">
      <c r="A9" s="3" t="s">
        <v>204</v>
      </c>
      <c r="B9" s="5">
        <f>2200</f>
        <v>2200</v>
      </c>
      <c r="C9" s="2"/>
      <c r="D9" s="2"/>
      <c r="E9" s="2"/>
      <c r="F9" s="2"/>
      <c r="G9" s="5">
        <f t="shared" si="0"/>
        <v>2200</v>
      </c>
    </row>
    <row r="10" spans="1:7" x14ac:dyDescent="0.25">
      <c r="A10" s="3" t="s">
        <v>233</v>
      </c>
      <c r="B10" s="5">
        <f>7578.29</f>
        <v>7578.29</v>
      </c>
      <c r="C10" s="2"/>
      <c r="D10" s="2"/>
      <c r="E10" s="2"/>
      <c r="F10" s="2"/>
      <c r="G10" s="5">
        <f t="shared" si="0"/>
        <v>7578.29</v>
      </c>
    </row>
    <row r="11" spans="1:7" x14ac:dyDescent="0.25">
      <c r="A11" s="3" t="s">
        <v>125</v>
      </c>
      <c r="B11" s="4">
        <f>((((B6)+(B7))+(B8))+(B9))+(B10)</f>
        <v>12018.29</v>
      </c>
      <c r="C11" s="4">
        <f>((((C6)+(C7))+(C8))+(C9))+(C10)</f>
        <v>543.75</v>
      </c>
      <c r="D11" s="4">
        <f>((((D6)+(D7))+(D8))+(D9))+(D10)</f>
        <v>0</v>
      </c>
      <c r="E11" s="4">
        <f>((((E6)+(E7))+(E8))+(E9))+(E10)</f>
        <v>0</v>
      </c>
      <c r="F11" s="4">
        <f>((((F6)+(F7))+(F8))+(F9))+(F10)</f>
        <v>0</v>
      </c>
      <c r="G11" s="4">
        <f t="shared" si="0"/>
        <v>12562.04</v>
      </c>
    </row>
    <row r="12" spans="1:7" x14ac:dyDescent="0.25">
      <c r="A12" s="3"/>
      <c r="B12" s="2"/>
      <c r="C12" s="2"/>
      <c r="D12" s="2"/>
      <c r="E12" s="2"/>
      <c r="F12" s="2"/>
      <c r="G12" s="2"/>
    </row>
    <row r="15" spans="1:7" x14ac:dyDescent="0.25">
      <c r="A15" s="98" t="s">
        <v>234</v>
      </c>
      <c r="B15" s="99"/>
      <c r="C15" s="99"/>
      <c r="D15" s="99"/>
      <c r="E15" s="99"/>
      <c r="F15" s="99"/>
      <c r="G15" s="99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A9" sqref="A9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00" t="s">
        <v>59</v>
      </c>
      <c r="B1" s="99"/>
      <c r="C1" s="99"/>
      <c r="D1" s="99"/>
      <c r="E1" s="99"/>
      <c r="F1" s="99"/>
      <c r="G1" s="99"/>
    </row>
    <row r="2" spans="1:7" ht="18" x14ac:dyDescent="0.25">
      <c r="A2" s="100" t="s">
        <v>202</v>
      </c>
      <c r="B2" s="99"/>
      <c r="C2" s="99"/>
      <c r="D2" s="99"/>
      <c r="E2" s="99"/>
      <c r="F2" s="99"/>
      <c r="G2" s="99"/>
    </row>
    <row r="3" spans="1:7" x14ac:dyDescent="0.25">
      <c r="A3" s="101" t="s">
        <v>217</v>
      </c>
      <c r="B3" s="99"/>
      <c r="C3" s="99"/>
      <c r="D3" s="99"/>
      <c r="E3" s="99"/>
      <c r="F3" s="99"/>
      <c r="G3" s="99"/>
    </row>
    <row r="5" spans="1:7" x14ac:dyDescent="0.25">
      <c r="A5" s="1"/>
      <c r="B5" s="84" t="s">
        <v>130</v>
      </c>
      <c r="C5" s="84" t="s">
        <v>129</v>
      </c>
      <c r="D5" s="84" t="s">
        <v>128</v>
      </c>
      <c r="E5" s="84" t="s">
        <v>127</v>
      </c>
      <c r="F5" s="84" t="s">
        <v>126</v>
      </c>
      <c r="G5" s="84" t="s">
        <v>0</v>
      </c>
    </row>
    <row r="6" spans="1:7" x14ac:dyDescent="0.25">
      <c r="A6" s="3" t="s">
        <v>208</v>
      </c>
      <c r="B6" s="5">
        <f>4166.67</f>
        <v>4166.67</v>
      </c>
      <c r="C6" s="2"/>
      <c r="D6" s="2"/>
      <c r="E6" s="2"/>
      <c r="F6" s="2"/>
      <c r="G6" s="5">
        <f>((((B6)+(C6))+(D6))+(E6))+(F6)</f>
        <v>4166.67</v>
      </c>
    </row>
    <row r="7" spans="1:7" x14ac:dyDescent="0.25">
      <c r="A7" s="3" t="s">
        <v>125</v>
      </c>
      <c r="B7" s="4">
        <f>B6</f>
        <v>4166.67</v>
      </c>
      <c r="C7" s="4">
        <f>C6</f>
        <v>0</v>
      </c>
      <c r="D7" s="4">
        <f>D6</f>
        <v>0</v>
      </c>
      <c r="E7" s="4">
        <f>E6</f>
        <v>0</v>
      </c>
      <c r="F7" s="4">
        <f>F6</f>
        <v>0</v>
      </c>
      <c r="G7" s="4">
        <f>((((B7)+(C7))+(D7))+(E7))+(F7)</f>
        <v>4166.67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98" t="s">
        <v>230</v>
      </c>
      <c r="B11" s="99"/>
      <c r="C11" s="99"/>
      <c r="D11" s="99"/>
      <c r="E11" s="99"/>
      <c r="F11" s="99"/>
      <c r="G11" s="99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2024-08-22T00:56:51Z</dcterms:modified>
</cp:coreProperties>
</file>