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Fiscal 2024\1 2023.08.31 and 2023.07.31 Actual vs Budget for September 18 2023 Board Meeting\"/>
    </mc:Choice>
  </mc:AlternateContent>
  <xr:revisionPtr revIDLastSave="0" documentId="13_ncr:1_{59F970C8-210B-486C-A5E8-9021A2EBAE8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L &amp; L Grinspoon" sheetId="12" r:id="rId5"/>
    <sheet name="A P Aging Summary" sheetId="4" r:id="rId6"/>
    <sheet name="AR Aging" sheetId="9" r:id="rId7"/>
  </sheets>
  <externalReferences>
    <externalReference r:id="rId8"/>
    <externalReference r:id="rId9"/>
  </externalReferences>
  <definedNames>
    <definedName name="_xlnm.Print_Area" localSheetId="3">'Budget vs. Actuals'!#REF!</definedName>
    <definedName name="_xlnm.Print_Titles" localSheetId="3">'Budget vs. Actuals'!$A:$E,'Budget vs. Actuals'!$7:$9</definedName>
  </definedNames>
  <calcPr calcId="191029"/>
  <pivotCaches>
    <pivotCache cacheId="1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E8" i="4"/>
  <c r="D8" i="4"/>
  <c r="C8" i="4"/>
  <c r="B7" i="4"/>
  <c r="B6" i="4"/>
  <c r="G6" i="4" s="1"/>
  <c r="F8" i="9"/>
  <c r="E8" i="9"/>
  <c r="D8" i="9"/>
  <c r="B7" i="9"/>
  <c r="C6" i="9"/>
  <c r="C8" i="9" s="1"/>
  <c r="B6" i="9"/>
  <c r="P14" i="6"/>
  <c r="G6" i="9" l="1"/>
  <c r="B8" i="9"/>
  <c r="G8" i="9" s="1"/>
  <c r="B8" i="4"/>
  <c r="G8" i="4" s="1"/>
  <c r="G7" i="4"/>
  <c r="G7" i="9"/>
  <c r="P13" i="6" l="1"/>
  <c r="P12" i="6"/>
  <c r="C63" i="1" l="1"/>
  <c r="B63" i="1"/>
  <c r="C62" i="1"/>
  <c r="B62" i="1"/>
  <c r="C61" i="1"/>
  <c r="B61" i="1"/>
  <c r="C60" i="1"/>
  <c r="B60" i="1"/>
  <c r="C59" i="1"/>
  <c r="B59" i="1"/>
  <c r="C54" i="1"/>
  <c r="B54" i="1"/>
  <c r="C53" i="1"/>
  <c r="B53" i="1"/>
  <c r="C52" i="1"/>
  <c r="C55" i="1" s="1"/>
  <c r="B52" i="1"/>
  <c r="B55" i="1" s="1"/>
  <c r="C49" i="1"/>
  <c r="C50" i="1" s="1"/>
  <c r="B49" i="1"/>
  <c r="B50" i="1" s="1"/>
  <c r="C42" i="1"/>
  <c r="B42" i="1"/>
  <c r="C41" i="1"/>
  <c r="B41" i="1"/>
  <c r="C40" i="1"/>
  <c r="B40" i="1"/>
  <c r="C39" i="1"/>
  <c r="B39" i="1"/>
  <c r="C38" i="1"/>
  <c r="B38" i="1"/>
  <c r="C36" i="1"/>
  <c r="B36" i="1"/>
  <c r="C35" i="1"/>
  <c r="B35" i="1"/>
  <c r="C33" i="1"/>
  <c r="B33" i="1"/>
  <c r="C32" i="1"/>
  <c r="B32" i="1"/>
  <c r="C31" i="1"/>
  <c r="B31" i="1"/>
  <c r="C30" i="1"/>
  <c r="C34" i="1" s="1"/>
  <c r="B30" i="1"/>
  <c r="B34" i="1" s="1"/>
  <c r="C26" i="1"/>
  <c r="B26" i="1"/>
  <c r="C25" i="1"/>
  <c r="B25" i="1"/>
  <c r="B27" i="1" s="1"/>
  <c r="B28" i="1" s="1"/>
  <c r="C21" i="1"/>
  <c r="C22" i="1" s="1"/>
  <c r="B21" i="1"/>
  <c r="B22" i="1" s="1"/>
  <c r="C18" i="1"/>
  <c r="C19" i="1" s="1"/>
  <c r="B18" i="1"/>
  <c r="B19" i="1" s="1"/>
  <c r="B15" i="1"/>
  <c r="C14" i="1"/>
  <c r="B14" i="1"/>
  <c r="C13" i="1"/>
  <c r="B13" i="1"/>
  <c r="C12" i="1"/>
  <c r="B12" i="1"/>
  <c r="C11" i="1"/>
  <c r="B11" i="1"/>
  <c r="C10" i="1"/>
  <c r="B10" i="1"/>
  <c r="J59" i="12"/>
  <c r="I59" i="12"/>
  <c r="H59" i="12"/>
  <c r="D59" i="12"/>
  <c r="C59" i="12"/>
  <c r="G58" i="12"/>
  <c r="G59" i="12" s="1"/>
  <c r="F58" i="12"/>
  <c r="F59" i="12" s="1"/>
  <c r="E58" i="12"/>
  <c r="E59" i="12" s="1"/>
  <c r="B58" i="12"/>
  <c r="B59" i="12" s="1"/>
  <c r="J55" i="12"/>
  <c r="J56" i="12" s="1"/>
  <c r="J60" i="12" s="1"/>
  <c r="I55" i="12"/>
  <c r="I56" i="12" s="1"/>
  <c r="I60" i="12" s="1"/>
  <c r="H55" i="12"/>
  <c r="H56" i="12" s="1"/>
  <c r="G55" i="12"/>
  <c r="C55" i="12"/>
  <c r="C56" i="12" s="1"/>
  <c r="B55" i="12"/>
  <c r="K54" i="12"/>
  <c r="F54" i="12"/>
  <c r="E54" i="12"/>
  <c r="D54" i="12"/>
  <c r="K53" i="12"/>
  <c r="F53" i="12"/>
  <c r="E53" i="12"/>
  <c r="D53" i="12"/>
  <c r="K52" i="12"/>
  <c r="F52" i="12"/>
  <c r="E52" i="12"/>
  <c r="D52" i="12"/>
  <c r="K51" i="12"/>
  <c r="F51" i="12"/>
  <c r="E51" i="12"/>
  <c r="D51" i="12"/>
  <c r="K50" i="12"/>
  <c r="L50" i="12" s="1"/>
  <c r="K49" i="12"/>
  <c r="F49" i="12"/>
  <c r="E49" i="12"/>
  <c r="D49" i="12"/>
  <c r="B49" i="12"/>
  <c r="J45" i="12"/>
  <c r="K45" i="12" s="1"/>
  <c r="L45" i="12" s="1"/>
  <c r="I44" i="12"/>
  <c r="H44" i="12"/>
  <c r="G44" i="12"/>
  <c r="F44" i="12"/>
  <c r="E44" i="12"/>
  <c r="D44" i="12"/>
  <c r="B44" i="12"/>
  <c r="J43" i="12"/>
  <c r="K43" i="12" s="1"/>
  <c r="C43" i="12"/>
  <c r="K42" i="12"/>
  <c r="C42" i="12"/>
  <c r="L42" i="12" s="1"/>
  <c r="K41" i="12"/>
  <c r="L41" i="12" s="1"/>
  <c r="J40" i="12"/>
  <c r="H40" i="12"/>
  <c r="G40" i="12"/>
  <c r="F40" i="12"/>
  <c r="E40" i="12"/>
  <c r="D40" i="12"/>
  <c r="B40" i="12"/>
  <c r="I39" i="12"/>
  <c r="K39" i="12" s="1"/>
  <c r="C39" i="12"/>
  <c r="I38" i="12"/>
  <c r="K38" i="12" s="1"/>
  <c r="L38" i="12" s="1"/>
  <c r="K37" i="12"/>
  <c r="C37" i="12"/>
  <c r="L37" i="12" s="1"/>
  <c r="K36" i="12"/>
  <c r="C36" i="12"/>
  <c r="I35" i="12"/>
  <c r="K35" i="12" s="1"/>
  <c r="L35" i="12" s="1"/>
  <c r="K34" i="12"/>
  <c r="L34" i="12" s="1"/>
  <c r="H33" i="12"/>
  <c r="G33" i="12"/>
  <c r="F33" i="12"/>
  <c r="E33" i="12"/>
  <c r="D33" i="12"/>
  <c r="C33" i="12"/>
  <c r="B33" i="12"/>
  <c r="I32" i="12"/>
  <c r="I33" i="12" s="1"/>
  <c r="C32" i="12"/>
  <c r="J31" i="12"/>
  <c r="J33" i="12" s="1"/>
  <c r="K30" i="12"/>
  <c r="L30" i="12" s="1"/>
  <c r="J29" i="12"/>
  <c r="H29" i="12"/>
  <c r="G29" i="12"/>
  <c r="F29" i="12"/>
  <c r="E29" i="12"/>
  <c r="D29" i="12"/>
  <c r="B29" i="12"/>
  <c r="I28" i="12"/>
  <c r="I29" i="12" s="1"/>
  <c r="C28" i="12"/>
  <c r="C29" i="12" s="1"/>
  <c r="K27" i="12"/>
  <c r="L27" i="12" s="1"/>
  <c r="J26" i="12"/>
  <c r="H26" i="12"/>
  <c r="G26" i="12"/>
  <c r="F26" i="12"/>
  <c r="E26" i="12"/>
  <c r="E46" i="12" s="1"/>
  <c r="D26" i="12"/>
  <c r="B26" i="12"/>
  <c r="I25" i="12"/>
  <c r="K25" i="12" s="1"/>
  <c r="C25" i="12"/>
  <c r="L25" i="12" s="1"/>
  <c r="I24" i="12"/>
  <c r="K24" i="12" s="1"/>
  <c r="C24" i="12"/>
  <c r="K23" i="12"/>
  <c r="C23" i="12"/>
  <c r="L23" i="12" s="1"/>
  <c r="K22" i="12"/>
  <c r="L22" i="12" s="1"/>
  <c r="J21" i="12"/>
  <c r="K21" i="12" s="1"/>
  <c r="C21" i="12"/>
  <c r="L21" i="12" s="1"/>
  <c r="K20" i="12"/>
  <c r="C20" i="12"/>
  <c r="I19" i="12"/>
  <c r="H19" i="12"/>
  <c r="H46" i="12" s="1"/>
  <c r="F19" i="12"/>
  <c r="K18" i="12"/>
  <c r="C18" i="12"/>
  <c r="G14" i="12"/>
  <c r="K14" i="12" s="1"/>
  <c r="L14" i="12" s="1"/>
  <c r="K12" i="12"/>
  <c r="L12" i="12" s="1"/>
  <c r="C12" i="12"/>
  <c r="J11" i="12"/>
  <c r="J13" i="12" s="1"/>
  <c r="J15" i="12" s="1"/>
  <c r="J16" i="12" s="1"/>
  <c r="I11" i="12"/>
  <c r="I13" i="12" s="1"/>
  <c r="I15" i="12" s="1"/>
  <c r="I16" i="12" s="1"/>
  <c r="H11" i="12"/>
  <c r="H13" i="12" s="1"/>
  <c r="H15" i="12" s="1"/>
  <c r="H16" i="12" s="1"/>
  <c r="F11" i="12"/>
  <c r="F13" i="12" s="1"/>
  <c r="F15" i="12" s="1"/>
  <c r="F16" i="12" s="1"/>
  <c r="E11" i="12"/>
  <c r="E13" i="12" s="1"/>
  <c r="E15" i="12" s="1"/>
  <c r="E16" i="12" s="1"/>
  <c r="E47" i="12" s="1"/>
  <c r="D11" i="12"/>
  <c r="D13" i="12" s="1"/>
  <c r="D15" i="12" s="1"/>
  <c r="D16" i="12" s="1"/>
  <c r="C11" i="12"/>
  <c r="C13" i="12" s="1"/>
  <c r="C15" i="12" s="1"/>
  <c r="C16" i="12" s="1"/>
  <c r="B11" i="12"/>
  <c r="B13" i="12" s="1"/>
  <c r="G10" i="12"/>
  <c r="K10" i="12" s="1"/>
  <c r="L10" i="12" s="1"/>
  <c r="K9" i="12"/>
  <c r="L9" i="12" s="1"/>
  <c r="G8" i="12"/>
  <c r="K8" i="12" s="1"/>
  <c r="L8" i="12" s="1"/>
  <c r="K7" i="12"/>
  <c r="L7" i="12" s="1"/>
  <c r="C76" i="2"/>
  <c r="E76" i="2" s="1"/>
  <c r="E75" i="2"/>
  <c r="B75" i="2"/>
  <c r="B76" i="2" s="1"/>
  <c r="C72" i="2"/>
  <c r="C73" i="2" s="1"/>
  <c r="E71" i="2"/>
  <c r="B71" i="2"/>
  <c r="D71" i="2" s="1"/>
  <c r="E70" i="2"/>
  <c r="B70" i="2"/>
  <c r="D70" i="2" s="1"/>
  <c r="E69" i="2"/>
  <c r="B69" i="2"/>
  <c r="D69" i="2" s="1"/>
  <c r="E68" i="2"/>
  <c r="B68" i="2"/>
  <c r="D68" i="2" s="1"/>
  <c r="E67" i="2"/>
  <c r="D67" i="2"/>
  <c r="E66" i="2"/>
  <c r="B66" i="2"/>
  <c r="E62" i="2"/>
  <c r="B62" i="2"/>
  <c r="D62" i="2" s="1"/>
  <c r="H62" i="2" s="1"/>
  <c r="C60" i="2"/>
  <c r="E60" i="2" s="1"/>
  <c r="C59" i="2"/>
  <c r="E59" i="2" s="1"/>
  <c r="C58" i="2"/>
  <c r="B58" i="2"/>
  <c r="C57" i="2"/>
  <c r="B57" i="2"/>
  <c r="E56" i="2"/>
  <c r="D56" i="2"/>
  <c r="C54" i="2"/>
  <c r="B54" i="2"/>
  <c r="C53" i="2"/>
  <c r="D53" i="2" s="1"/>
  <c r="C52" i="2"/>
  <c r="B52" i="2"/>
  <c r="C51" i="2"/>
  <c r="B51" i="2"/>
  <c r="C50" i="2"/>
  <c r="B50" i="2"/>
  <c r="C49" i="2"/>
  <c r="B49" i="2"/>
  <c r="E48" i="2"/>
  <c r="D48" i="2"/>
  <c r="C46" i="2"/>
  <c r="C47" i="2" s="1"/>
  <c r="E47" i="2" s="1"/>
  <c r="B46" i="2"/>
  <c r="E45" i="2"/>
  <c r="B45" i="2"/>
  <c r="E44" i="2"/>
  <c r="D44" i="2"/>
  <c r="C42" i="2"/>
  <c r="E42" i="2" s="1"/>
  <c r="C41" i="2"/>
  <c r="D41" i="2" s="1"/>
  <c r="C40" i="2"/>
  <c r="B40" i="2"/>
  <c r="B43" i="2" s="1"/>
  <c r="E39" i="2"/>
  <c r="D39" i="2"/>
  <c r="C37" i="2"/>
  <c r="B37" i="2"/>
  <c r="C36" i="2"/>
  <c r="E36" i="2" s="1"/>
  <c r="C35" i="2"/>
  <c r="B35" i="2"/>
  <c r="E34" i="2"/>
  <c r="B34" i="2"/>
  <c r="D34" i="2" s="1"/>
  <c r="E33" i="2"/>
  <c r="D33" i="2"/>
  <c r="C32" i="2"/>
  <c r="E31" i="2"/>
  <c r="C31" i="2"/>
  <c r="D31" i="2" s="1"/>
  <c r="C30" i="2"/>
  <c r="E30" i="2" s="1"/>
  <c r="C29" i="2"/>
  <c r="B29" i="2"/>
  <c r="C28" i="2"/>
  <c r="B28" i="2"/>
  <c r="C27" i="2"/>
  <c r="E27" i="2" s="1"/>
  <c r="C26" i="2"/>
  <c r="E26" i="2" s="1"/>
  <c r="C25" i="2"/>
  <c r="B25" i="2"/>
  <c r="C24" i="2"/>
  <c r="D24" i="2" s="1"/>
  <c r="C23" i="2"/>
  <c r="E23" i="2" s="1"/>
  <c r="C22" i="2"/>
  <c r="B22" i="2"/>
  <c r="D22" i="2" s="1"/>
  <c r="E18" i="2"/>
  <c r="B18" i="2"/>
  <c r="D18" i="2" s="1"/>
  <c r="C16" i="2"/>
  <c r="B16" i="2"/>
  <c r="C14" i="2"/>
  <c r="B14" i="2"/>
  <c r="B15" i="2" s="1"/>
  <c r="E13" i="2"/>
  <c r="D13" i="2"/>
  <c r="C12" i="2"/>
  <c r="B12" i="2"/>
  <c r="E11" i="2"/>
  <c r="D11" i="2"/>
  <c r="P23" i="6"/>
  <c r="P15" i="6"/>
  <c r="P19" i="6" s="1"/>
  <c r="K28" i="12" l="1"/>
  <c r="L28" i="12" s="1"/>
  <c r="G46" i="12"/>
  <c r="E50" i="2"/>
  <c r="E24" i="2"/>
  <c r="C27" i="1"/>
  <c r="C28" i="1" s="1"/>
  <c r="E16" i="2"/>
  <c r="C60" i="12"/>
  <c r="L52" i="12"/>
  <c r="D12" i="2"/>
  <c r="E57" i="2"/>
  <c r="L36" i="12"/>
  <c r="B16" i="1"/>
  <c r="B23" i="1" s="1"/>
  <c r="D49" i="2"/>
  <c r="L43" i="12"/>
  <c r="K59" i="12"/>
  <c r="D23" i="2"/>
  <c r="B47" i="2"/>
  <c r="B46" i="12"/>
  <c r="B56" i="12"/>
  <c r="F55" i="12"/>
  <c r="K55" i="12"/>
  <c r="L20" i="12"/>
  <c r="H60" i="12"/>
  <c r="I40" i="12"/>
  <c r="K40" i="12" s="1"/>
  <c r="E55" i="12"/>
  <c r="E56" i="12" s="1"/>
  <c r="E60" i="12" s="1"/>
  <c r="E61" i="12" s="1"/>
  <c r="L53" i="12"/>
  <c r="D45" i="2"/>
  <c r="D30" i="2"/>
  <c r="B38" i="2"/>
  <c r="C43" i="2"/>
  <c r="D43" i="2" s="1"/>
  <c r="H43" i="2" s="1"/>
  <c r="E53" i="2"/>
  <c r="C61" i="2"/>
  <c r="L49" i="12"/>
  <c r="K58" i="12"/>
  <c r="B37" i="1"/>
  <c r="B43" i="1" s="1"/>
  <c r="D46" i="2"/>
  <c r="H47" i="12"/>
  <c r="L24" i="12"/>
  <c r="K31" i="12"/>
  <c r="L31" i="12" s="1"/>
  <c r="C40" i="12"/>
  <c r="C16" i="1"/>
  <c r="C23" i="1" s="1"/>
  <c r="C37" i="1"/>
  <c r="C43" i="1" s="1"/>
  <c r="I26" i="12"/>
  <c r="E14" i="2"/>
  <c r="D28" i="2"/>
  <c r="E46" i="2"/>
  <c r="D51" i="2"/>
  <c r="D60" i="2"/>
  <c r="L18" i="12"/>
  <c r="E12" i="2"/>
  <c r="D16" i="2"/>
  <c r="G34" i="2"/>
  <c r="D76" i="2"/>
  <c r="K32" i="12"/>
  <c r="L32" i="12" s="1"/>
  <c r="L54" i="12"/>
  <c r="B56" i="1"/>
  <c r="B57" i="1" s="1"/>
  <c r="B64" i="1"/>
  <c r="D29" i="2"/>
  <c r="D52" i="2"/>
  <c r="F46" i="12"/>
  <c r="F47" i="12" s="1"/>
  <c r="C26" i="12"/>
  <c r="L26" i="12" s="1"/>
  <c r="D46" i="12"/>
  <c r="D47" i="12" s="1"/>
  <c r="D55" i="12"/>
  <c r="L55" i="12" s="1"/>
  <c r="C56" i="1"/>
  <c r="C57" i="1" s="1"/>
  <c r="C64" i="1"/>
  <c r="E29" i="2"/>
  <c r="E51" i="2"/>
  <c r="E54" i="2"/>
  <c r="G25" i="2"/>
  <c r="C15" i="2"/>
  <c r="D15" i="2" s="1"/>
  <c r="D27" i="2"/>
  <c r="C55" i="2"/>
  <c r="E55" i="2" s="1"/>
  <c r="E52" i="2"/>
  <c r="D57" i="2"/>
  <c r="E41" i="2"/>
  <c r="E43" i="2"/>
  <c r="E28" i="2"/>
  <c r="G26" i="2"/>
  <c r="D37" i="2"/>
  <c r="B55" i="2"/>
  <c r="D55" i="2" s="1"/>
  <c r="H54" i="2" s="1"/>
  <c r="D58" i="2"/>
  <c r="L39" i="12"/>
  <c r="B60" i="12"/>
  <c r="L40" i="12"/>
  <c r="K33" i="12"/>
  <c r="L33" i="12" s="1"/>
  <c r="F56" i="12"/>
  <c r="F60" i="12" s="1"/>
  <c r="B15" i="12"/>
  <c r="K29" i="12"/>
  <c r="L29" i="12" s="1"/>
  <c r="L59" i="12"/>
  <c r="J44" i="12"/>
  <c r="K44" i="12" s="1"/>
  <c r="L51" i="12"/>
  <c r="G56" i="12"/>
  <c r="D56" i="12"/>
  <c r="D60" i="12" s="1"/>
  <c r="G11" i="12"/>
  <c r="K11" i="12" s="1"/>
  <c r="C44" i="12"/>
  <c r="L11" i="12"/>
  <c r="K26" i="12"/>
  <c r="L58" i="12"/>
  <c r="K19" i="12"/>
  <c r="L19" i="12" s="1"/>
  <c r="D47" i="2"/>
  <c r="H47" i="2" s="1"/>
  <c r="B17" i="2"/>
  <c r="C77" i="2"/>
  <c r="E77" i="2" s="1"/>
  <c r="E73" i="2"/>
  <c r="E22" i="2"/>
  <c r="D32" i="2"/>
  <c r="D42" i="2"/>
  <c r="E49" i="2"/>
  <c r="B61" i="2"/>
  <c r="D61" i="2" s="1"/>
  <c r="H61" i="2" s="1"/>
  <c r="D66" i="2"/>
  <c r="B72" i="2"/>
  <c r="D72" i="2" s="1"/>
  <c r="D25" i="2"/>
  <c r="E32" i="2"/>
  <c r="D35" i="2"/>
  <c r="E37" i="2"/>
  <c r="E58" i="2"/>
  <c r="D75" i="2"/>
  <c r="E25" i="2"/>
  <c r="E35" i="2"/>
  <c r="D40" i="2"/>
  <c r="D54" i="2"/>
  <c r="C38" i="2"/>
  <c r="E38" i="2" s="1"/>
  <c r="E40" i="2"/>
  <c r="D50" i="2"/>
  <c r="D59" i="2"/>
  <c r="E72" i="2"/>
  <c r="D14" i="2"/>
  <c r="D26" i="2"/>
  <c r="D36" i="2"/>
  <c r="D61" i="12" l="1"/>
  <c r="H61" i="12"/>
  <c r="E61" i="2"/>
  <c r="B63" i="2"/>
  <c r="B44" i="1"/>
  <c r="H28" i="2"/>
  <c r="C17" i="2"/>
  <c r="D17" i="2" s="1"/>
  <c r="F61" i="12"/>
  <c r="E15" i="2"/>
  <c r="C65" i="1"/>
  <c r="B65" i="1"/>
  <c r="I46" i="12"/>
  <c r="J46" i="12"/>
  <c r="J47" i="12" s="1"/>
  <c r="J61" i="12" s="1"/>
  <c r="L44" i="12"/>
  <c r="C44" i="1"/>
  <c r="G27" i="2"/>
  <c r="G60" i="12"/>
  <c r="K60" i="12" s="1"/>
  <c r="L60" i="12" s="1"/>
  <c r="K56" i="12"/>
  <c r="L56" i="12" s="1"/>
  <c r="B16" i="12"/>
  <c r="G13" i="12"/>
  <c r="C46" i="12"/>
  <c r="B19" i="2"/>
  <c r="D38" i="2"/>
  <c r="C63" i="2"/>
  <c r="B73" i="2"/>
  <c r="V11" i="6"/>
  <c r="O15" i="6"/>
  <c r="O14" i="6"/>
  <c r="O13" i="6"/>
  <c r="O12" i="6"/>
  <c r="C19" i="2" l="1"/>
  <c r="E17" i="2"/>
  <c r="E63" i="2"/>
  <c r="K46" i="12"/>
  <c r="I47" i="12"/>
  <c r="I61" i="12" s="1"/>
  <c r="L46" i="12"/>
  <c r="C47" i="12"/>
  <c r="C61" i="12" s="1"/>
  <c r="K13" i="12"/>
  <c r="L13" i="12" s="1"/>
  <c r="G15" i="12"/>
  <c r="B47" i="12"/>
  <c r="C20" i="2"/>
  <c r="E19" i="2"/>
  <c r="D19" i="2"/>
  <c r="B20" i="2"/>
  <c r="D73" i="2"/>
  <c r="B77" i="2"/>
  <c r="D77" i="2" s="1"/>
  <c r="D63" i="2"/>
  <c r="B61" i="12" l="1"/>
  <c r="K15" i="12"/>
  <c r="L15" i="12" s="1"/>
  <c r="G16" i="12"/>
  <c r="C64" i="2"/>
  <c r="E20" i="2"/>
  <c r="B64" i="2"/>
  <c r="D20" i="2"/>
  <c r="K16" i="12" l="1"/>
  <c r="L16" i="12" s="1"/>
  <c r="G47" i="12"/>
  <c r="D64" i="2"/>
  <c r="B78" i="2"/>
  <c r="E64" i="2"/>
  <c r="C78" i="2"/>
  <c r="D78" i="2" l="1"/>
  <c r="K47" i="12"/>
  <c r="L47" i="12" s="1"/>
  <c r="G61" i="12"/>
  <c r="K61" i="12" s="1"/>
  <c r="L61" i="12" s="1"/>
  <c r="E78" i="2"/>
  <c r="I54" i="6"/>
  <c r="G33" i="2" l="1"/>
  <c r="I55" i="6"/>
  <c r="G35" i="2" l="1"/>
  <c r="H35" i="2" s="1"/>
  <c r="H64" i="2" s="1"/>
  <c r="H66" i="2" s="1"/>
  <c r="N23" i="6"/>
  <c r="K38" i="2" l="1"/>
  <c r="H20" i="2"/>
  <c r="O19" i="6"/>
  <c r="H65" i="2" l="1"/>
  <c r="H67" i="2" s="1"/>
  <c r="N15" i="6" l="1"/>
  <c r="N14" i="6"/>
  <c r="N13" i="6"/>
  <c r="N12" i="6"/>
  <c r="M23" i="5" l="1"/>
  <c r="M20" i="5"/>
  <c r="M16" i="5"/>
  <c r="M11" i="5"/>
  <c r="L25" i="5"/>
  <c r="M25" i="5" l="1"/>
  <c r="M23" i="6" l="1"/>
  <c r="Z18" i="6"/>
  <c r="M15" i="6"/>
  <c r="L15" i="6"/>
  <c r="K15" i="6"/>
  <c r="J15" i="6"/>
  <c r="I15" i="6"/>
  <c r="H15" i="6"/>
  <c r="G15" i="6"/>
  <c r="F15" i="6"/>
  <c r="E15" i="6"/>
  <c r="M14" i="6"/>
  <c r="M19" i="6" s="1"/>
  <c r="L14" i="6"/>
  <c r="K14" i="6"/>
  <c r="J14" i="6"/>
  <c r="I14" i="6"/>
  <c r="H14" i="6"/>
  <c r="G14" i="6"/>
  <c r="F14" i="6"/>
  <c r="E14" i="6"/>
  <c r="E19" i="6" s="1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E11" i="6"/>
  <c r="Q11" i="6" s="1"/>
  <c r="Q12" i="6" l="1"/>
  <c r="Q13" i="6"/>
  <c r="Q15" i="6"/>
  <c r="Q14" i="6"/>
  <c r="K19" i="6"/>
  <c r="J19" i="6"/>
  <c r="H19" i="6"/>
  <c r="G19" i="6"/>
  <c r="I19" i="6"/>
  <c r="L19" i="6"/>
  <c r="N19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Q17" i="6" l="1"/>
  <c r="M20" i="6"/>
  <c r="N11" i="6"/>
  <c r="N17" i="6" s="1"/>
  <c r="K20" i="6"/>
  <c r="J20" i="6"/>
  <c r="G20" i="6"/>
  <c r="E20" i="6"/>
  <c r="H20" i="6"/>
  <c r="I20" i="6"/>
  <c r="F20" i="6"/>
  <c r="L20" i="6"/>
  <c r="F25" i="5"/>
  <c r="F30" i="5" s="1"/>
  <c r="N20" i="6" l="1"/>
  <c r="O11" i="6"/>
  <c r="O17" i="6" s="1"/>
  <c r="O20" i="6" l="1"/>
  <c r="P11" i="6"/>
  <c r="P17" i="6" s="1"/>
  <c r="P20" i="6" s="1"/>
</calcChain>
</file>

<file path=xl/sharedStrings.xml><?xml version="1.0" encoding="utf-8"?>
<sst xmlns="http://schemas.openxmlformats.org/spreadsheetml/2006/main" count="336" uniqueCount="245">
  <si>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</si>
  <si>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</si>
  <si>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</si>
  <si>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</si>
  <si>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</si>
  <si>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</si>
  <si>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</si>
  <si>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</si>
  <si>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</si>
  <si>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</si>
  <si>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</si>
  <si>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</si>
  <si>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</si>
  <si>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</si>
  <si>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</si>
  <si>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</si>
  <si>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</si>
  <si>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</si>
  <si>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</si>
  <si>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</si>
  <si>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</si>
  <si>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</si>
  <si>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</si>
  <si>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</si>
  <si>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</si>
  <si>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</si>
  <si>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</si>
  <si>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</si>
  <si>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</si>
  <si>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</si>
  <si>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</si>
  <si>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</si>
  <si>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</si>
  <si>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</si>
  <si>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</si>
  <si>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</si>
  <si>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</si>
  <si>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</si>
  <si>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</si>
  <si>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</si>
  <si>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</si>
  <si>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</si>
  <si>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</si>
  <si>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</si>
  <si>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</si>
  <si>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</si>
  <si>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</si>
  <si>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</si>
  <si>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</si>
  <si>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</si>
  <si>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</si>
  <si>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</si>
  <si>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</si>
  <si>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</si>
  <si>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</si>
  <si>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</si>
  <si>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</si>
  <si>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</si>
  <si>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</si>
  <si>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</si>
  <si>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</si>
  <si>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</si>
  <si>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</si>
  <si>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</si>
  <si>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</si>
  <si>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</si>
  <si>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</si>
  <si>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</si>
  <si>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</si>
  <si>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</si>
  <si>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</si>
  <si>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</si>
  <si>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</si>
  <si>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</si>
  <si>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</si>
  <si>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</si>
  <si>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</si>
  <si>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</si>
  <si>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</si>
  <si>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</si>
  <si>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</si>
  <si>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</si>
  <si>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</si>
  <si>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</si>
  <si>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</si>
  <si>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</si>
  <si>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</si>
  <si>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</si>
  <si>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</si>
  <si>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</si>
  <si>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</si>
  <si>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</si>
  <si>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</si>
  <si>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</si>
  <si>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</si>
  <si>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</si>
  <si>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</si>
  <si>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</si>
  <si>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</si>
  <si>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</si>
  <si>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</si>
  <si>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</si>
  <si>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</si>
  <si>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</si>
  <si>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</si>
  <si>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</si>
  <si>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</si>
  <si>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</si>
  <si>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60008 Advertising/Promotional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</si>
  <si>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</si>
  <si>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</si>
  <si>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</si>
  <si>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</si>
  <si>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</si>
  <si>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</si>
  <si>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</si>
  <si>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</si>
  <si>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</si>
  <si>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</si>
  <si>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</si>
  <si>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</si>
  <si>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</si>
  <si>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</si>
  <si>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</si>
  <si>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</si>
  <si>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</si>
  <si>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>TOTAL</t>
  </si>
  <si>
    <t>91 and over</t>
  </si>
  <si>
    <t>61 - 90</t>
  </si>
  <si>
    <t>31 - 60</t>
  </si>
  <si>
    <t>1 - 30</t>
  </si>
  <si>
    <t>Current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</si>
  <si>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</si>
  <si>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</si>
  <si>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</si>
  <si>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</si>
  <si>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</si>
  <si>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</si>
  <si>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Total Permanently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</si>
  <si>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</si>
  <si>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</si>
  <si>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</si>
  <si>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</si>
  <si>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</si>
  <si>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</si>
  <si>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</si>
  <si>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</si>
  <si>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</si>
  <si>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</si>
  <si>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</si>
  <si>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</si>
  <si>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</si>
  <si>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</si>
  <si>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</si>
  <si>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</si>
  <si>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</si>
  <si>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</si>
  <si>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</si>
  <si>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</si>
  <si>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</si>
  <si>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</si>
  <si>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</si>
  <si>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</si>
  <si>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</si>
  <si>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</si>
  <si>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</si>
  <si>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</si>
  <si>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</si>
  <si>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</si>
  <si>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</si>
  <si>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</si>
  <si>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</si>
  <si>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</si>
  <si>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</si>
  <si>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</si>
  <si>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</si>
  <si>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</si>
  <si>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</si>
  <si>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</si>
  <si>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</si>
  <si>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</si>
  <si>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 xml:space="preserve">      45300 Realized Gains and Losses</t>
  </si>
  <si>
    <t>Variance</t>
  </si>
  <si>
    <t xml:space="preserve">   60000 L&amp;L Event</t>
  </si>
  <si>
    <t>12.31.2021</t>
  </si>
  <si>
    <t>High</t>
  </si>
  <si>
    <t>Fiscal Year 2023</t>
  </si>
  <si>
    <t xml:space="preserve">Budget vs. Actuals: FY 2023 Budget - FY23 P&amp;L </t>
  </si>
  <si>
    <t xml:space="preserve">      Total 43440 Fee Income</t>
  </si>
  <si>
    <t xml:space="preserve">      43450 L&amp;L HGF Grant</t>
  </si>
  <si>
    <t xml:space="preserve">   60000.1 Incentive Grants</t>
  </si>
  <si>
    <t xml:space="preserve">      68311 Training</t>
  </si>
  <si>
    <t xml:space="preserve">   Scholarship Awards</t>
  </si>
  <si>
    <t>Life and Legacy Grinspoon</t>
  </si>
  <si>
    <t>Permanently restricted</t>
  </si>
  <si>
    <t>Temporarily restricted</t>
  </si>
  <si>
    <t>Unrestricted DAF</t>
  </si>
  <si>
    <t>Unrestricted Funds</t>
  </si>
  <si>
    <t>Fundraising</t>
  </si>
  <si>
    <t>Mgmt &amp; Gen.</t>
  </si>
  <si>
    <t>Prog. Svs. Exp.</t>
  </si>
  <si>
    <t>Netcentric IT Management, Inc.</t>
  </si>
  <si>
    <t>less revenue than budget</t>
  </si>
  <si>
    <t>less expense than budget</t>
  </si>
  <si>
    <t>greater expense than budget</t>
  </si>
  <si>
    <t>A/R Aging Summary</t>
  </si>
  <si>
    <t>Revenue shortfall</t>
  </si>
  <si>
    <t>Non-profit Accounting Solutions, LLC</t>
  </si>
  <si>
    <t>actual</t>
  </si>
  <si>
    <t>budget</t>
  </si>
  <si>
    <t>Operating</t>
  </si>
  <si>
    <t>Grinspoon Foundation</t>
  </si>
  <si>
    <t xml:space="preserve">   60009 Third Party Processing Fee</t>
  </si>
  <si>
    <t>Saturday, Jul 15, 2023 03:28:29 PM GMT-7 - Accrual Basis</t>
  </si>
  <si>
    <t>Expense greater than budget</t>
  </si>
  <si>
    <t>Highlights</t>
  </si>
  <si>
    <t>Assets at the level of 06.30.2021</t>
  </si>
  <si>
    <t>Today</t>
  </si>
  <si>
    <t>$17,000 accrual on the books</t>
  </si>
  <si>
    <t xml:space="preserve">   60000.2 JFedShaw Grinspoon Grant</t>
  </si>
  <si>
    <t xml:space="preserve">         10060 Northfield Divestment Checking</t>
  </si>
  <si>
    <t>Permanently Restricted &amp; Temporarily Restricted Funds</t>
  </si>
  <si>
    <t>Fiscal Year 2024</t>
  </si>
  <si>
    <t>FY 2013 - FY 2024</t>
  </si>
  <si>
    <t>09/18/2023</t>
  </si>
  <si>
    <t>payroll</t>
  </si>
  <si>
    <t>Life and Legacy</t>
  </si>
  <si>
    <t>Saturday, Sep 16, 2023 12:11:19 PM GMT-7 - Accrual Basis</t>
  </si>
  <si>
    <t>July - August, 2023</t>
  </si>
  <si>
    <t>Custodial</t>
  </si>
  <si>
    <t>Saturday, Sep 16, 2023 12:12:56 PM GMT-7 - Accrual Basis</t>
  </si>
  <si>
    <t>As of August 31, 2023</t>
  </si>
  <si>
    <t>As of Aug 31, 2023</t>
  </si>
  <si>
    <t>As of Aug 31, 2022 (PY)</t>
  </si>
  <si>
    <t>Saturday, Sep 16, 2023 12:09:51 PM GMT-7 - Accrual Basis</t>
  </si>
  <si>
    <t>Asset Summary as of August 31, 2023</t>
  </si>
  <si>
    <t>08.31.2023</t>
  </si>
  <si>
    <t>Keith Sachs</t>
  </si>
  <si>
    <t>Saturday, Sep 16, 2023 12:14:16 PM GMT-7</t>
  </si>
  <si>
    <t>Saturday, Sep 16, 2023 12:14:42 PM GMT-7</t>
  </si>
  <si>
    <t>Fixed</t>
  </si>
  <si>
    <t>Variable</t>
  </si>
  <si>
    <t>Savings</t>
  </si>
  <si>
    <t xml:space="preserve">   60000 L&amp;L Event (potential fund raiser)</t>
  </si>
  <si>
    <t>7/1/2023 - 8/31/2023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</si>
</sst>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333333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2" fillId="0" borderId="0" xfId="4" quotePrefix="1" applyFont="1"/>
    <xf numFmtId="43" fontId="0" fillId="0" borderId="0" xfId="1" applyFont="1"/>
    <xf numFmtId="167" fontId="0" fillId="0" borderId="0" xfId="1" applyNumberFormat="1" applyFont="1"/>
    <xf numFmtId="43" fontId="0" fillId="0" borderId="0" xfId="0" applyNumberFormat="1"/>
    <xf numFmtId="167" fontId="12" fillId="0" borderId="1" xfId="1" applyNumberFormat="1" applyFont="1" applyBorder="1"/>
    <xf numFmtId="0" fontId="5" fillId="0" borderId="1" xfId="0" applyFont="1" applyBorder="1" applyAlignment="1">
      <alignment horizontal="center" wrapText="1"/>
    </xf>
    <xf numFmtId="44" fontId="0" fillId="0" borderId="12" xfId="0" applyNumberFormat="1" applyBorder="1"/>
    <xf numFmtId="0" fontId="22" fillId="0" borderId="0" xfId="0" applyFont="1"/>
    <xf numFmtId="169" fontId="19" fillId="0" borderId="9" xfId="1" applyNumberFormat="1" applyFont="1" applyBorder="1"/>
    <xf numFmtId="10" fontId="3" fillId="0" borderId="0" xfId="0" applyNumberFormat="1" applyFont="1" applyAlignment="1">
      <alignment horizontal="right" wrapText="1"/>
    </xf>
    <xf numFmtId="10" fontId="4" fillId="0" borderId="2" xfId="0" applyNumberFormat="1" applyFont="1" applyBorder="1" applyAlignment="1">
      <alignment horizontal="right" wrapText="1"/>
    </xf>
    <xf numFmtId="4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 indent="2"/>
    </xf>
    <xf numFmtId="165" fontId="4" fillId="2" borderId="2" xfId="0" applyNumberFormat="1" applyFont="1" applyFill="1" applyBorder="1" applyAlignment="1">
      <alignment horizontal="right" wrapText="1"/>
    </xf>
    <xf numFmtId="165" fontId="4" fillId="4" borderId="2" xfId="0" applyNumberFormat="1" applyFont="1" applyFill="1" applyBorder="1" applyAlignment="1">
      <alignment horizontal="right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2" borderId="0" xfId="0" applyFont="1" applyFill="1" applyAlignment="1">
      <alignment horizontal="center"/>
    </xf>
    <xf numFmtId="17" fontId="6" fillId="0" borderId="0" xfId="0" applyNumberFormat="1" applyFont="1" applyAlignment="1">
      <alignment horizontal="center"/>
    </xf>
    <xf numFmtId="0" fontId="24" fillId="0" borderId="0" xfId="0" applyFont="1" applyFill="1"/>
    <xf numFmtId="0" fontId="0" fillId="0" borderId="0" xfId="0" applyFill="1" applyAlignment="1">
      <alignment wrapText="1"/>
    </xf>
    <xf numFmtId="0" fontId="4" fillId="0" borderId="0" xfId="0" applyFont="1" applyFill="1" applyAlignment="1">
      <alignment horizontal="left"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1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45:J52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Z55"/>
  <sheetViews>
    <sheetView topLeftCell="B7" zoomScaleNormal="100" workbookViewId="0">
      <pane xSplit="3" ySplit="2" topLeftCell="K9" activePane="bottomRight" state="frozen"/>
      <selection activeCell="B7" sqref="B7"/>
      <selection pane="topRight" activeCell="E7" sqref="E7"/>
      <selection pane="bottomLeft" activeCell="B9" sqref="B9"/>
      <selection pane="bottomRight" activeCell="M13" sqref="M13"/>
    </sheetView>
  </sheetViews>
  <sheetFormatPr defaultColWidth="9.140625" defaultRowHeight="15" x14ac:dyDescent="0.25"/>
  <cols>
    <col min="1" max="1" width="3.5703125" style="22" hidden="1" customWidth="1"/>
    <col min="2" max="2" width="25.7109375" style="22" customWidth="1"/>
    <col min="3" max="3" width="14.85546875" style="22" customWidth="1"/>
    <col min="4" max="4" width="19.42578125" style="22" customWidth="1"/>
    <col min="5" max="5" width="12.5703125" style="22" customWidth="1"/>
    <col min="6" max="6" width="11.28515625" style="22" customWidth="1"/>
    <col min="7" max="7" width="13.28515625" style="22" customWidth="1"/>
    <col min="8" max="8" width="12" style="22" customWidth="1"/>
    <col min="9" max="9" width="10.5703125" style="22" bestFit="1" customWidth="1"/>
    <col min="10" max="10" width="13.85546875" style="22" customWidth="1"/>
    <col min="11" max="16" width="11.28515625" style="22" customWidth="1"/>
    <col min="17" max="17" width="10.42578125" style="22" customWidth="1"/>
    <col min="18" max="18" width="1.28515625" style="22" customWidth="1"/>
    <col min="19" max="19" width="1.42578125" style="22" customWidth="1"/>
    <col min="20" max="24" width="15.7109375" style="22" customWidth="1"/>
    <col min="25" max="25" width="21.7109375" style="22" bestFit="1" customWidth="1"/>
    <col min="26" max="26" width="19.42578125" style="22" bestFit="1" customWidth="1"/>
    <col min="27" max="16384" width="9.140625" style="22"/>
  </cols>
  <sheetData>
    <row r="1" spans="1:26" s="36" customFormat="1" ht="26.25" customHeight="1" x14ac:dyDescent="0.2">
      <c r="A1" s="94" t="s">
        <v>133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26" s="36" customFormat="1" ht="26.25" customHeight="1" x14ac:dyDescent="0.2">
      <c r="A2" s="94" t="s">
        <v>134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26" s="36" customFormat="1" ht="26.25" x14ac:dyDescent="0.4">
      <c r="A3" s="95" t="s">
        <v>146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26" s="36" customFormat="1" ht="26.25" x14ac:dyDescent="0.4">
      <c r="A4" s="95" t="s">
        <v>147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26" s="36" customFormat="1" ht="26.25" x14ac:dyDescent="0.2">
      <c r="A5" s="96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26" s="36" customFormat="1" ht="27.75" customHeight="1" x14ac:dyDescent="0.3">
      <c r="A6" s="37"/>
      <c r="B6" s="37"/>
      <c r="C6" s="37"/>
      <c r="D6" s="37"/>
      <c r="E6" s="37"/>
      <c r="F6" s="37"/>
      <c r="G6" s="37"/>
      <c r="H6" s="37"/>
      <c r="I6" s="37"/>
      <c r="J6" s="22"/>
      <c r="K6" s="22"/>
      <c r="L6" s="22"/>
      <c r="M6" s="22"/>
      <c r="N6" s="22"/>
      <c r="O6" s="22"/>
      <c r="P6" s="22"/>
      <c r="Q6" s="22"/>
    </row>
    <row r="7" spans="1:26" s="36" customFormat="1" x14ac:dyDescent="0.25">
      <c r="A7" s="22"/>
      <c r="B7" s="22"/>
      <c r="C7" s="22"/>
      <c r="D7" s="22"/>
      <c r="H7" s="38"/>
      <c r="I7" s="22"/>
      <c r="J7" s="22"/>
      <c r="K7" s="22"/>
      <c r="L7" s="22"/>
      <c r="M7" s="22"/>
      <c r="N7" s="22"/>
      <c r="O7" s="22"/>
      <c r="P7" s="22"/>
      <c r="Q7" s="22"/>
    </row>
    <row r="8" spans="1:26" s="36" customFormat="1" ht="45" customHeight="1" x14ac:dyDescent="0.25">
      <c r="A8" s="22"/>
      <c r="B8" s="22"/>
      <c r="C8" s="22"/>
      <c r="D8" s="22"/>
      <c r="E8" s="39" t="s">
        <v>148</v>
      </c>
      <c r="F8" s="39" t="s">
        <v>149</v>
      </c>
      <c r="G8" s="39" t="s">
        <v>150</v>
      </c>
      <c r="H8" s="39" t="s">
        <v>151</v>
      </c>
      <c r="I8" s="39" t="s">
        <v>152</v>
      </c>
      <c r="J8" s="39" t="s">
        <v>153</v>
      </c>
      <c r="K8" s="39" t="s">
        <v>154</v>
      </c>
      <c r="L8" s="39" t="s">
        <v>155</v>
      </c>
      <c r="M8" s="39" t="s">
        <v>156</v>
      </c>
      <c r="N8" s="39" t="s">
        <v>179</v>
      </c>
      <c r="O8" s="39" t="s">
        <v>186</v>
      </c>
      <c r="P8" s="39" t="s">
        <v>222</v>
      </c>
      <c r="Q8" s="40" t="s">
        <v>223</v>
      </c>
      <c r="R8" s="41"/>
    </row>
    <row r="9" spans="1:26" s="36" customFormat="1" ht="23.25" x14ac:dyDescent="0.35">
      <c r="A9" s="22"/>
      <c r="B9" s="42" t="s">
        <v>157</v>
      </c>
      <c r="C9" s="22"/>
      <c r="D9" s="22"/>
      <c r="E9" s="43"/>
      <c r="F9" s="43"/>
      <c r="G9" s="43"/>
      <c r="H9" s="43"/>
      <c r="I9" s="43"/>
      <c r="J9" s="43"/>
      <c r="K9" s="43"/>
      <c r="L9" s="43"/>
      <c r="M9" s="22"/>
      <c r="N9" s="22"/>
      <c r="O9" s="22"/>
      <c r="P9" s="22"/>
      <c r="Q9" s="44"/>
      <c r="R9" s="45"/>
    </row>
    <row r="10" spans="1:26" s="36" customFormat="1" x14ac:dyDescent="0.25">
      <c r="A10" s="22"/>
      <c r="B10" s="22"/>
      <c r="C10" s="22"/>
      <c r="D10" s="22"/>
      <c r="E10" s="46"/>
      <c r="F10" s="43"/>
      <c r="G10" s="43"/>
      <c r="H10" s="43"/>
      <c r="I10" s="43"/>
      <c r="J10" s="43"/>
      <c r="K10" s="43"/>
      <c r="L10" s="43"/>
      <c r="M10" s="47"/>
      <c r="N10" s="47"/>
      <c r="O10" s="47"/>
      <c r="P10" s="47"/>
      <c r="Q10" s="48"/>
      <c r="R10" s="45"/>
      <c r="U10" s="36" t="s">
        <v>215</v>
      </c>
      <c r="V10" s="36" t="s">
        <v>216</v>
      </c>
    </row>
    <row r="11" spans="1:26" s="36" customFormat="1" ht="18" customHeight="1" x14ac:dyDescent="0.3">
      <c r="B11" s="49" t="s">
        <v>158</v>
      </c>
      <c r="D11" s="50"/>
      <c r="E11" s="51">
        <f>+C47/10^6</f>
        <v>6.7799264599999995</v>
      </c>
      <c r="F11" s="51">
        <f t="shared" ref="F11:L11" si="0">+E17</f>
        <v>7.355995029999999</v>
      </c>
      <c r="G11" s="51">
        <f t="shared" si="0"/>
        <v>8.8975125699999982</v>
      </c>
      <c r="H11" s="51">
        <f t="shared" si="0"/>
        <v>8.4806887299999989</v>
      </c>
      <c r="I11" s="51">
        <f t="shared" si="0"/>
        <v>8.3226854699999997</v>
      </c>
      <c r="J11" s="51">
        <f t="shared" si="0"/>
        <v>10.52460597</v>
      </c>
      <c r="K11" s="51">
        <f t="shared" si="0"/>
        <v>10.89581907</v>
      </c>
      <c r="L11" s="51">
        <f t="shared" si="0"/>
        <v>10.945213580000001</v>
      </c>
      <c r="M11" s="51">
        <f>+L17</f>
        <v>10.479769140000002</v>
      </c>
      <c r="N11" s="51">
        <f>+M17</f>
        <v>14.680762140000001</v>
      </c>
      <c r="O11" s="51">
        <f>+N17</f>
        <v>12.921371140000002</v>
      </c>
      <c r="P11" s="51">
        <f>+O17</f>
        <v>14.721237140000001</v>
      </c>
      <c r="Q11" s="52">
        <f>+E11</f>
        <v>6.7799264599999995</v>
      </c>
      <c r="R11" s="45"/>
      <c r="U11" s="36" t="s">
        <v>217</v>
      </c>
      <c r="V11" s="58">
        <f>+'Funds and Assets'!H26</f>
        <v>14475699.300000001</v>
      </c>
    </row>
    <row r="12" spans="1:26" s="36" customFormat="1" ht="18" customHeight="1" x14ac:dyDescent="0.3">
      <c r="B12" s="49" t="s">
        <v>159</v>
      </c>
      <c r="D12" s="50"/>
      <c r="E12" s="51">
        <f>+C48/10^6</f>
        <v>0.83821375999999992</v>
      </c>
      <c r="F12" s="51">
        <f t="shared" ref="F12:K15" si="1">+D48/10^6</f>
        <v>1.1313998599999999</v>
      </c>
      <c r="G12" s="51">
        <f t="shared" si="1"/>
        <v>0.65697110000000014</v>
      </c>
      <c r="H12" s="51">
        <f t="shared" si="1"/>
        <v>1.3064777299999999</v>
      </c>
      <c r="I12" s="51">
        <f t="shared" si="1"/>
        <v>2.0766917600000001</v>
      </c>
      <c r="J12" s="51">
        <f t="shared" si="1"/>
        <v>1.0590322000000001</v>
      </c>
      <c r="K12" s="51">
        <f t="shared" si="1"/>
        <v>1.23016897</v>
      </c>
      <c r="L12" s="51">
        <f>+'[1]Summary of Activities Report'!$E$46/10^6</f>
        <v>0.96984260999999983</v>
      </c>
      <c r="M12" s="51">
        <f>3008866/10^6</f>
        <v>3.0088659999999998</v>
      </c>
      <c r="N12" s="51">
        <f>2573997/10^6</f>
        <v>2.5739969999999999</v>
      </c>
      <c r="O12" s="51">
        <f>1521238/10^6</f>
        <v>1.5212380000000001</v>
      </c>
      <c r="P12" s="51">
        <f>239774/10^6</f>
        <v>0.23977399999999999</v>
      </c>
      <c r="Q12" s="52">
        <f>SUM(E12:P12)</f>
        <v>16.61267299</v>
      </c>
      <c r="R12" s="45"/>
      <c r="U12" s="36" t="s">
        <v>218</v>
      </c>
    </row>
    <row r="13" spans="1:26" s="36" customFormat="1" ht="18" customHeight="1" x14ac:dyDescent="0.3">
      <c r="B13" s="49" t="s">
        <v>160</v>
      </c>
      <c r="D13" s="50"/>
      <c r="E13" s="51">
        <f>+C49/10^6</f>
        <v>-0.94829133999999993</v>
      </c>
      <c r="F13" s="51">
        <f t="shared" si="1"/>
        <v>-0.81162242999999989</v>
      </c>
      <c r="G13" s="51">
        <f t="shared" si="1"/>
        <v>-1.09932192</v>
      </c>
      <c r="H13" s="51">
        <f t="shared" si="1"/>
        <v>-1.27069422</v>
      </c>
      <c r="I13" s="51">
        <f t="shared" si="1"/>
        <v>-0.94343860000000002</v>
      </c>
      <c r="J13" s="51">
        <f t="shared" si="1"/>
        <v>-1.4037089900000002</v>
      </c>
      <c r="K13" s="51">
        <f t="shared" si="1"/>
        <v>-1.5125359199999999</v>
      </c>
      <c r="L13" s="51">
        <f>+'[1]Summary of Activities Report'!$F$46/10^6</f>
        <v>-1.3504425</v>
      </c>
      <c r="M13" s="51">
        <f>-1406567/10^6</f>
        <v>-1.4065669999999999</v>
      </c>
      <c r="N13" s="51">
        <f>-1616209/10^6</f>
        <v>-1.616209</v>
      </c>
      <c r="O13" s="51">
        <f>-1578257/10^6</f>
        <v>-1.578257</v>
      </c>
      <c r="P13" s="51">
        <f>-412656/10^6</f>
        <v>-0.41265600000000002</v>
      </c>
      <c r="Q13" s="52">
        <f>SUM(E13:P13)</f>
        <v>-14.35374492</v>
      </c>
      <c r="R13" s="45"/>
      <c r="Y13" s="36" t="s">
        <v>161</v>
      </c>
    </row>
    <row r="14" spans="1:26" s="36" customFormat="1" ht="18" customHeight="1" x14ac:dyDescent="0.3">
      <c r="B14" s="49" t="s">
        <v>162</v>
      </c>
      <c r="D14" s="50"/>
      <c r="E14" s="51">
        <f>+C50/10^6</f>
        <v>0.75534582000000006</v>
      </c>
      <c r="F14" s="51">
        <f t="shared" si="1"/>
        <v>1.3001116499999998</v>
      </c>
      <c r="G14" s="51">
        <f t="shared" si="1"/>
        <v>0.11003288000000006</v>
      </c>
      <c r="H14" s="51">
        <f t="shared" si="1"/>
        <v>-0.11325913000000001</v>
      </c>
      <c r="I14" s="51">
        <f t="shared" si="1"/>
        <v>1.1585334100000002</v>
      </c>
      <c r="J14" s="51">
        <f t="shared" si="1"/>
        <v>0.82240797000000032</v>
      </c>
      <c r="K14" s="51">
        <f t="shared" si="1"/>
        <v>0.43931713000000006</v>
      </c>
      <c r="L14" s="51">
        <f>+'[1]Summary of Activities Report'!$G$47/10^6</f>
        <v>4.5046309999999999E-2</v>
      </c>
      <c r="M14" s="51">
        <f>(2715821)/10^6</f>
        <v>2.715821</v>
      </c>
      <c r="N14" s="51">
        <f>+(332282-2898796)/10^6</f>
        <v>-2.5665140000000002</v>
      </c>
      <c r="O14" s="51">
        <f>+(324406+1666535)/10^6</f>
        <v>1.9909410000000001</v>
      </c>
      <c r="P14" s="51">
        <f>+(60074)/10^6</f>
        <v>6.0074000000000002E-2</v>
      </c>
      <c r="Q14" s="52">
        <f>SUM(E14:P14)</f>
        <v>6.7178580400000003</v>
      </c>
      <c r="R14" s="45"/>
    </row>
    <row r="15" spans="1:26" s="36" customFormat="1" ht="18" customHeight="1" x14ac:dyDescent="0.3">
      <c r="B15" s="49" t="s">
        <v>163</v>
      </c>
      <c r="D15" s="50"/>
      <c r="E15" s="53">
        <f>+C51/10^6</f>
        <v>-6.9199670000000019E-2</v>
      </c>
      <c r="F15" s="53">
        <f t="shared" si="1"/>
        <v>-7.8371540000000031E-2</v>
      </c>
      <c r="G15" s="53">
        <f t="shared" si="1"/>
        <v>-8.4505899999999995E-2</v>
      </c>
      <c r="H15" s="53">
        <f t="shared" si="1"/>
        <v>-8.0527640000000011E-2</v>
      </c>
      <c r="I15" s="53">
        <f t="shared" si="1"/>
        <v>-8.9866070000000034E-2</v>
      </c>
      <c r="J15" s="53">
        <f t="shared" si="1"/>
        <v>-0.10651808000000003</v>
      </c>
      <c r="K15" s="53">
        <f t="shared" si="1"/>
        <v>-0.10755566999999999</v>
      </c>
      <c r="L15" s="53">
        <f>+'[1]Summary of Activities Report'!$H$46/10^6</f>
        <v>-0.12989086</v>
      </c>
      <c r="M15" s="54">
        <f>-117127/10^6</f>
        <v>-0.117127</v>
      </c>
      <c r="N15" s="53">
        <f>-150665/10^6</f>
        <v>-0.15066499999999999</v>
      </c>
      <c r="O15" s="53">
        <f>-134056/10^6</f>
        <v>-0.13405600000000001</v>
      </c>
      <c r="P15" s="53">
        <f>-36576/10^6</f>
        <v>-3.6575999999999997E-2</v>
      </c>
      <c r="Q15" s="87">
        <f>SUM(E15:P15)</f>
        <v>-1.1848594300000002</v>
      </c>
      <c r="R15" s="55"/>
      <c r="Z15" s="56">
        <v>-1242047.3999999999</v>
      </c>
    </row>
    <row r="16" spans="1:26" s="36" customFormat="1" ht="18" customHeight="1" x14ac:dyDescent="0.3">
      <c r="B16" s="49"/>
      <c r="D16" s="5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2"/>
      <c r="R16" s="45"/>
      <c r="X16" s="36" t="s">
        <v>73</v>
      </c>
      <c r="Y16" s="58">
        <v>1638838.98</v>
      </c>
    </row>
    <row r="17" spans="1:26" s="36" customFormat="1" ht="19.5" thickBot="1" x14ac:dyDescent="0.35">
      <c r="B17" s="49" t="s">
        <v>164</v>
      </c>
      <c r="D17" s="50"/>
      <c r="E17" s="59">
        <f t="shared" ref="E17:N17" si="2">SUM(E11:E15)</f>
        <v>7.355995029999999</v>
      </c>
      <c r="F17" s="59">
        <f t="shared" si="2"/>
        <v>8.8975125699999982</v>
      </c>
      <c r="G17" s="59">
        <f t="shared" si="2"/>
        <v>8.4806887299999989</v>
      </c>
      <c r="H17" s="59">
        <f t="shared" si="2"/>
        <v>8.3226854699999997</v>
      </c>
      <c r="I17" s="59">
        <f t="shared" si="2"/>
        <v>10.52460597</v>
      </c>
      <c r="J17" s="59">
        <f t="shared" si="2"/>
        <v>10.89581907</v>
      </c>
      <c r="K17" s="59">
        <f t="shared" si="2"/>
        <v>10.945213580000001</v>
      </c>
      <c r="L17" s="59">
        <f t="shared" si="2"/>
        <v>10.479769140000002</v>
      </c>
      <c r="M17" s="59">
        <f t="shared" si="2"/>
        <v>14.680762140000001</v>
      </c>
      <c r="N17" s="59">
        <f t="shared" si="2"/>
        <v>12.921371140000002</v>
      </c>
      <c r="O17" s="59">
        <f t="shared" ref="O17:P17" si="3">SUM(O11:O15)</f>
        <v>14.721237140000001</v>
      </c>
      <c r="P17" s="59">
        <f t="shared" si="3"/>
        <v>14.571853140000002</v>
      </c>
      <c r="Q17" s="60">
        <f>SUM(Q11:Q15)</f>
        <v>14.571853139999998</v>
      </c>
      <c r="R17" s="61"/>
      <c r="X17" s="36" t="s">
        <v>72</v>
      </c>
      <c r="Y17" s="58"/>
    </row>
    <row r="18" spans="1:26" s="36" customFormat="1" ht="12.75" customHeight="1" thickTop="1" x14ac:dyDescent="0.3">
      <c r="A18" s="50"/>
      <c r="B18" s="50"/>
      <c r="D18" s="50"/>
      <c r="F18" s="22"/>
      <c r="G18" s="22"/>
      <c r="H18" s="22"/>
      <c r="I18" s="51"/>
      <c r="J18" s="22"/>
      <c r="K18" s="62"/>
      <c r="L18" s="62"/>
      <c r="M18" s="22"/>
      <c r="N18" s="22"/>
      <c r="O18" s="22"/>
      <c r="P18" s="22"/>
      <c r="Q18" s="63"/>
      <c r="R18" s="55"/>
      <c r="X18" s="64" t="s">
        <v>71</v>
      </c>
      <c r="Y18" s="58">
        <v>297559.17</v>
      </c>
      <c r="Z18" s="65">
        <f>+Y18+Y20</f>
        <v>2009430.2699999998</v>
      </c>
    </row>
    <row r="19" spans="1:26" s="36" customFormat="1" ht="18.75" x14ac:dyDescent="0.3">
      <c r="B19" s="6"/>
      <c r="D19" s="22"/>
      <c r="E19" s="51">
        <f>+E14+E15</f>
        <v>0.68614615000000001</v>
      </c>
      <c r="F19" s="51">
        <f t="shared" ref="F19:M19" si="4">+F14+F15</f>
        <v>1.2217401099999998</v>
      </c>
      <c r="G19" s="51">
        <f t="shared" si="4"/>
        <v>2.552698000000006E-2</v>
      </c>
      <c r="H19" s="51">
        <f t="shared" si="4"/>
        <v>-0.19378677000000002</v>
      </c>
      <c r="I19" s="51">
        <f t="shared" si="4"/>
        <v>1.0686673400000002</v>
      </c>
      <c r="J19" s="51">
        <f t="shared" si="4"/>
        <v>0.71588989000000025</v>
      </c>
      <c r="K19" s="51">
        <f t="shared" si="4"/>
        <v>0.33176146000000006</v>
      </c>
      <c r="L19" s="51">
        <f t="shared" si="4"/>
        <v>-8.4844549999999991E-2</v>
      </c>
      <c r="M19" s="51">
        <f t="shared" si="4"/>
        <v>2.5986940000000001</v>
      </c>
      <c r="N19" s="51">
        <f t="shared" ref="N19:O19" si="5">+N14+N15</f>
        <v>-2.7171790000000002</v>
      </c>
      <c r="O19" s="51">
        <f t="shared" si="5"/>
        <v>1.8568850000000001</v>
      </c>
      <c r="P19" s="51">
        <f t="shared" ref="P19" si="6">+P14+P15</f>
        <v>2.3498000000000005E-2</v>
      </c>
      <c r="Q19" s="51"/>
      <c r="X19" s="64" t="s">
        <v>165</v>
      </c>
      <c r="Y19" s="58">
        <v>-75</v>
      </c>
    </row>
    <row r="20" spans="1:26" s="36" customFormat="1" ht="18.75" x14ac:dyDescent="0.3">
      <c r="B20" s="6"/>
      <c r="D20" s="22"/>
      <c r="E20" s="66">
        <f>+E19/E17</f>
        <v>9.3277136159239646E-2</v>
      </c>
      <c r="F20" s="66">
        <f t="shared" ref="F20:M20" si="7">+F19/F17</f>
        <v>0.13731254666831003</v>
      </c>
      <c r="G20" s="66">
        <f t="shared" si="7"/>
        <v>3.0100126077849888E-3</v>
      </c>
      <c r="H20" s="66">
        <f t="shared" si="7"/>
        <v>-2.3284163591009769E-2</v>
      </c>
      <c r="I20" s="66">
        <f t="shared" si="7"/>
        <v>0.10153989071383736</v>
      </c>
      <c r="J20" s="66">
        <f t="shared" si="7"/>
        <v>6.5703173428337799E-2</v>
      </c>
      <c r="K20" s="66">
        <f t="shared" si="7"/>
        <v>3.0311099694410901E-2</v>
      </c>
      <c r="L20" s="66">
        <f t="shared" si="7"/>
        <v>-8.0960323521019825E-3</v>
      </c>
      <c r="M20" s="66">
        <f t="shared" si="7"/>
        <v>0.17701356204930652</v>
      </c>
      <c r="N20" s="66">
        <f t="shared" ref="N20:O20" si="8">+N19/N17</f>
        <v>-0.21028565548965417</v>
      </c>
      <c r="O20" s="66">
        <f t="shared" si="8"/>
        <v>0.12613647768464656</v>
      </c>
      <c r="P20" s="66">
        <f t="shared" ref="P20" si="9">+P19/P17</f>
        <v>1.6125608578566831E-3</v>
      </c>
      <c r="Q20" s="66"/>
      <c r="X20" s="36" t="s">
        <v>70</v>
      </c>
      <c r="Y20" s="58">
        <v>1711871.0999999999</v>
      </c>
    </row>
    <row r="21" spans="1:26" s="36" customFormat="1" ht="18.75" customHeight="1" x14ac:dyDescent="0.25">
      <c r="A21" s="22"/>
      <c r="B21" s="67" t="s">
        <v>166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X21" s="36" t="s">
        <v>69</v>
      </c>
      <c r="Y21" s="58">
        <v>-85190.720000000001</v>
      </c>
    </row>
    <row r="22" spans="1:26" ht="18.75" x14ac:dyDescent="0.3">
      <c r="A22" s="68"/>
      <c r="B22" s="69"/>
      <c r="X22" s="22" t="s">
        <v>67</v>
      </c>
      <c r="Y22" s="56"/>
    </row>
    <row r="23" spans="1:26" ht="24" thickBot="1" x14ac:dyDescent="0.4">
      <c r="A23" s="68"/>
      <c r="B23" s="42" t="s">
        <v>167</v>
      </c>
      <c r="E23" s="70">
        <v>69</v>
      </c>
      <c r="F23" s="70">
        <v>77</v>
      </c>
      <c r="G23" s="70">
        <v>89</v>
      </c>
      <c r="H23" s="70">
        <v>103</v>
      </c>
      <c r="I23" s="70">
        <v>119</v>
      </c>
      <c r="J23" s="70">
        <v>122</v>
      </c>
      <c r="K23" s="70">
        <v>122</v>
      </c>
      <c r="L23" s="70">
        <v>121</v>
      </c>
      <c r="M23" s="70">
        <f>+L23</f>
        <v>121</v>
      </c>
      <c r="N23" s="70">
        <f>30+74+11+24</f>
        <v>139</v>
      </c>
      <c r="O23" s="70">
        <v>151</v>
      </c>
      <c r="P23" s="70">
        <f>5+32+82+33</f>
        <v>152</v>
      </c>
      <c r="Q23" s="70"/>
      <c r="X23" s="22" t="s">
        <v>66</v>
      </c>
      <c r="Y23" s="56"/>
    </row>
    <row r="24" spans="1:26" ht="15.75" thickTop="1" x14ac:dyDescent="0.25">
      <c r="X24" s="22" t="s">
        <v>65</v>
      </c>
    </row>
    <row r="25" spans="1:26" x14ac:dyDescent="0.25">
      <c r="B25" s="36"/>
      <c r="Y25" s="56">
        <v>2320956.13</v>
      </c>
    </row>
    <row r="26" spans="1:26" x14ac:dyDescent="0.25">
      <c r="B26" s="36"/>
      <c r="Y26" s="56"/>
    </row>
    <row r="27" spans="1:26" x14ac:dyDescent="0.25">
      <c r="B27" s="36"/>
      <c r="Y27" s="56"/>
    </row>
    <row r="28" spans="1:26" x14ac:dyDescent="0.25">
      <c r="B28" s="36"/>
      <c r="Y28" s="56"/>
    </row>
    <row r="29" spans="1:26" x14ac:dyDescent="0.25">
      <c r="B29" s="36"/>
      <c r="Y29" s="56"/>
    </row>
    <row r="30" spans="1:26" x14ac:dyDescent="0.25">
      <c r="B30" s="36"/>
      <c r="Y30" s="56"/>
    </row>
    <row r="31" spans="1:26" x14ac:dyDescent="0.25">
      <c r="B31" s="36"/>
      <c r="Y31" s="56"/>
    </row>
    <row r="32" spans="1:26" x14ac:dyDescent="0.25">
      <c r="B32" s="36"/>
      <c r="Y32" s="56"/>
    </row>
    <row r="33" spans="2:25" x14ac:dyDescent="0.25">
      <c r="B33" s="36"/>
      <c r="Y33" s="56"/>
    </row>
    <row r="34" spans="2:25" x14ac:dyDescent="0.25">
      <c r="B34" s="36"/>
      <c r="Y34" s="56"/>
    </row>
    <row r="35" spans="2:25" x14ac:dyDescent="0.25">
      <c r="B35" s="36"/>
      <c r="Y35" s="56"/>
    </row>
    <row r="36" spans="2:25" x14ac:dyDescent="0.25">
      <c r="B36" s="36"/>
      <c r="Y36" s="56"/>
    </row>
    <row r="37" spans="2:25" x14ac:dyDescent="0.25">
      <c r="B37" s="36"/>
      <c r="Y37" s="56"/>
    </row>
    <row r="38" spans="2:25" x14ac:dyDescent="0.25">
      <c r="B38" s="36"/>
      <c r="Y38" s="56"/>
    </row>
    <row r="39" spans="2:25" x14ac:dyDescent="0.25">
      <c r="B39" s="36"/>
      <c r="Y39" s="56"/>
    </row>
    <row r="40" spans="2:25" x14ac:dyDescent="0.25">
      <c r="B40" s="36"/>
      <c r="Y40" s="56"/>
    </row>
    <row r="41" spans="2:25" x14ac:dyDescent="0.25">
      <c r="Y41" s="56"/>
    </row>
    <row r="43" spans="2:25" x14ac:dyDescent="0.25">
      <c r="B43" s="74" t="s">
        <v>168</v>
      </c>
      <c r="C43" s="71" t="s">
        <v>169</v>
      </c>
      <c r="D43"/>
      <c r="E43"/>
      <c r="F43"/>
      <c r="G43"/>
      <c r="H43"/>
      <c r="I43"/>
      <c r="J43"/>
    </row>
    <row r="44" spans="2:25" x14ac:dyDescent="0.25">
      <c r="B44"/>
      <c r="C44"/>
      <c r="D44"/>
      <c r="E44"/>
      <c r="F44"/>
      <c r="G44"/>
      <c r="H44"/>
      <c r="I44"/>
      <c r="J44"/>
    </row>
    <row r="45" spans="2:25" x14ac:dyDescent="0.25">
      <c r="B45" s="71"/>
      <c r="C45" s="74" t="s">
        <v>170</v>
      </c>
      <c r="D45" s="71"/>
      <c r="E45" s="71"/>
      <c r="F45" s="71"/>
      <c r="G45" s="71"/>
      <c r="H45" s="71"/>
      <c r="I45" s="71"/>
      <c r="J45" s="71"/>
    </row>
    <row r="46" spans="2:25" x14ac:dyDescent="0.25">
      <c r="B46" s="74" t="s">
        <v>171</v>
      </c>
      <c r="C46" s="71">
        <v>13</v>
      </c>
      <c r="D46" s="71">
        <v>14</v>
      </c>
      <c r="E46" s="71">
        <v>15</v>
      </c>
      <c r="F46" s="71">
        <v>16</v>
      </c>
      <c r="G46" s="71">
        <v>17</v>
      </c>
      <c r="H46" s="71">
        <v>18</v>
      </c>
      <c r="I46" s="71">
        <v>19</v>
      </c>
      <c r="J46" s="71" t="s">
        <v>172</v>
      </c>
    </row>
    <row r="47" spans="2:25" x14ac:dyDescent="0.25">
      <c r="B47" s="72" t="s">
        <v>173</v>
      </c>
      <c r="C47" s="72">
        <v>6779926.46</v>
      </c>
      <c r="D47" s="72">
        <v>7355995.04</v>
      </c>
      <c r="E47" s="72">
        <v>8897512.5799999945</v>
      </c>
      <c r="F47" s="73">
        <v>8480688.7400000002</v>
      </c>
      <c r="G47" s="72">
        <v>8322685.4800000004</v>
      </c>
      <c r="H47" s="72">
        <v>10524606.049999999</v>
      </c>
      <c r="I47" s="72">
        <v>10895819.149999999</v>
      </c>
      <c r="J47" s="72">
        <v>61257233.499999993</v>
      </c>
    </row>
    <row r="48" spans="2:25" x14ac:dyDescent="0.25">
      <c r="B48" s="72" t="s">
        <v>174</v>
      </c>
      <c r="C48" s="72">
        <v>838213.75999999989</v>
      </c>
      <c r="D48" s="72">
        <v>1131399.8599999999</v>
      </c>
      <c r="E48" s="72">
        <v>656971.10000000009</v>
      </c>
      <c r="F48" s="73">
        <v>1306477.73</v>
      </c>
      <c r="G48" s="72">
        <v>2076691.76</v>
      </c>
      <c r="H48" s="72">
        <v>1059032.2000000002</v>
      </c>
      <c r="I48" s="72">
        <v>1230168.97</v>
      </c>
      <c r="J48" s="72">
        <v>8298955.3799999999</v>
      </c>
    </row>
    <row r="49" spans="2:10" x14ac:dyDescent="0.25">
      <c r="B49" s="72" t="s">
        <v>175</v>
      </c>
      <c r="C49" s="72">
        <v>-948291.34</v>
      </c>
      <c r="D49" s="72">
        <v>-811622.42999999993</v>
      </c>
      <c r="E49" s="72">
        <v>-1099321.92</v>
      </c>
      <c r="F49" s="73">
        <v>-1270694.22</v>
      </c>
      <c r="G49" s="72">
        <v>-943438.6</v>
      </c>
      <c r="H49" s="72">
        <v>-1403708.9900000002</v>
      </c>
      <c r="I49" s="72">
        <v>-1512535.92</v>
      </c>
      <c r="J49" s="72">
        <v>-7989613.4199999999</v>
      </c>
    </row>
    <row r="50" spans="2:10" x14ac:dyDescent="0.25">
      <c r="B50" s="72" t="s">
        <v>176</v>
      </c>
      <c r="C50" s="72">
        <v>755345.82000000007</v>
      </c>
      <c r="D50" s="72">
        <v>1300111.6499999999</v>
      </c>
      <c r="E50" s="72">
        <v>110032.88000000005</v>
      </c>
      <c r="F50" s="73">
        <v>-113259.13000000002</v>
      </c>
      <c r="G50" s="72">
        <v>1158533.4100000001</v>
      </c>
      <c r="H50" s="72">
        <v>822407.97000000032</v>
      </c>
      <c r="I50" s="72">
        <v>439317.13000000006</v>
      </c>
      <c r="J50" s="72">
        <v>4472489.7300000004</v>
      </c>
    </row>
    <row r="51" spans="2:10" x14ac:dyDescent="0.25">
      <c r="B51" s="72" t="s">
        <v>177</v>
      </c>
      <c r="C51" s="72">
        <v>-69199.670000000013</v>
      </c>
      <c r="D51" s="72">
        <v>-78371.540000000037</v>
      </c>
      <c r="E51" s="72">
        <v>-84505.9</v>
      </c>
      <c r="F51" s="73">
        <v>-80527.640000000014</v>
      </c>
      <c r="G51" s="72">
        <v>-89866.070000000036</v>
      </c>
      <c r="H51" s="72">
        <v>-106518.08000000003</v>
      </c>
      <c r="I51" s="72">
        <v>-107555.67</v>
      </c>
      <c r="J51" s="72">
        <v>-616544.57000000007</v>
      </c>
    </row>
    <row r="52" spans="2:10" x14ac:dyDescent="0.25">
      <c r="B52" s="72" t="s">
        <v>178</v>
      </c>
      <c r="C52" s="72">
        <v>7355995.04</v>
      </c>
      <c r="D52" s="72">
        <v>8897512.5799999945</v>
      </c>
      <c r="E52" s="72">
        <v>8480688.7400000002</v>
      </c>
      <c r="F52" s="73">
        <v>8322685.4800000004</v>
      </c>
      <c r="G52" s="72">
        <v>10524606.049999999</v>
      </c>
      <c r="H52" s="72">
        <v>10895819.15</v>
      </c>
      <c r="I52" s="72">
        <v>10945213.660000002</v>
      </c>
      <c r="J52" s="72">
        <v>65422520.699999996</v>
      </c>
    </row>
    <row r="53" spans="2:10" x14ac:dyDescent="0.25">
      <c r="B53"/>
      <c r="C53"/>
      <c r="D53"/>
      <c r="E53"/>
      <c r="F53" s="72"/>
      <c r="G53"/>
      <c r="H53"/>
      <c r="I53"/>
      <c r="J53"/>
    </row>
    <row r="54" spans="2:10" x14ac:dyDescent="0.25">
      <c r="I54" s="22" t="e">
        <f>+GETPIVOTDATA("Sum of Beginning Balance",'[2]SOA Jul19_Apr20'!$D$134)</f>
        <v>#REF!</v>
      </c>
    </row>
    <row r="55" spans="2:10" x14ac:dyDescent="0.25">
      <c r="I55" s="22" t="e">
        <f>+I54-GETPIVOTDATA("Sum of Ending Balance",$B$45,"FY",19)</f>
        <v>#REF!</v>
      </c>
    </row>
  </sheetData>
  <mergeCells count="5">
    <mergeCell ref="A1:Q1"/>
    <mergeCell ref="A2:Q2"/>
    <mergeCell ref="A3:Q3"/>
    <mergeCell ref="A4:Q4"/>
    <mergeCell ref="A5:Q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AB40"/>
  <sheetViews>
    <sheetView topLeftCell="A7" zoomScale="130" zoomScaleNormal="130" workbookViewId="0">
      <selection activeCell="F25" sqref="F25"/>
    </sheetView>
  </sheetViews>
  <sheetFormatPr defaultColWidth="9.140625" defaultRowHeight="15" x14ac:dyDescent="0.25"/>
  <cols>
    <col min="1" max="1" width="5.42578125" style="6" customWidth="1"/>
    <col min="2" max="2" width="33.85546875" style="6" customWidth="1"/>
    <col min="3" max="3" width="14.5703125" style="6" customWidth="1"/>
    <col min="4" max="4" width="14.7109375" style="6" bestFit="1" customWidth="1"/>
    <col min="5" max="5" width="5.140625" style="6" customWidth="1"/>
    <col min="6" max="6" width="14.28515625" style="6" bestFit="1" customWidth="1"/>
    <col min="7" max="7" width="10.28515625" style="6" customWidth="1"/>
    <col min="8" max="8" width="12.5703125" style="6" customWidth="1"/>
    <col min="9" max="11" width="10.28515625" style="6" customWidth="1"/>
    <col min="12" max="12" width="13.5703125" style="6" bestFit="1" customWidth="1"/>
    <col min="13" max="13" width="13.28515625" style="6" bestFit="1" customWidth="1"/>
    <col min="14" max="18" width="10.28515625" style="6" customWidth="1"/>
    <col min="19" max="19" width="14.28515625" style="6" bestFit="1" customWidth="1"/>
    <col min="20" max="20" width="12.5703125" style="6" customWidth="1"/>
    <col min="21" max="21" width="11.28515625" style="6" bestFit="1" customWidth="1"/>
    <col min="22" max="23" width="9.140625" style="6"/>
    <col min="24" max="24" width="16.5703125" style="6" customWidth="1"/>
    <col min="25" max="25" width="15.7109375" style="6" customWidth="1"/>
    <col min="26" max="26" width="16.85546875" style="6" customWidth="1"/>
    <col min="27" max="16384" width="9.140625" style="6"/>
  </cols>
  <sheetData>
    <row r="1" spans="2:28" ht="18" customHeight="1" x14ac:dyDescent="0.25">
      <c r="B1" s="97" t="s">
        <v>133</v>
      </c>
      <c r="C1" s="97"/>
      <c r="D1" s="97"/>
      <c r="E1" s="97"/>
      <c r="F1" s="97"/>
    </row>
    <row r="2" spans="2:28" ht="21" x14ac:dyDescent="0.25">
      <c r="B2" s="97" t="s">
        <v>134</v>
      </c>
      <c r="C2" s="97"/>
      <c r="D2" s="97"/>
      <c r="E2" s="97"/>
      <c r="F2" s="97"/>
    </row>
    <row r="3" spans="2:28" ht="21" customHeight="1" x14ac:dyDescent="0.25">
      <c r="B3" s="97" t="s">
        <v>235</v>
      </c>
      <c r="C3" s="97"/>
      <c r="D3" s="97"/>
      <c r="E3" s="97"/>
      <c r="F3" s="97"/>
    </row>
    <row r="4" spans="2:28" ht="18" customHeight="1" x14ac:dyDescent="0.25">
      <c r="B4" s="97" t="s">
        <v>135</v>
      </c>
      <c r="C4" s="97"/>
      <c r="D4" s="97"/>
      <c r="E4" s="97"/>
      <c r="F4" s="97"/>
    </row>
    <row r="6" spans="2:28" ht="12.95" customHeight="1" x14ac:dyDescent="0.25">
      <c r="D6" s="7"/>
      <c r="E6" s="8"/>
      <c r="F6" s="9"/>
      <c r="L6" s="6" t="s">
        <v>185</v>
      </c>
    </row>
    <row r="7" spans="2:28" ht="12.95" customHeight="1" x14ac:dyDescent="0.25">
      <c r="D7" s="7"/>
      <c r="E7" s="8"/>
      <c r="F7" s="10"/>
    </row>
    <row r="8" spans="2:28" ht="12.95" hidden="1" customHeight="1" x14ac:dyDescent="0.25">
      <c r="D8" s="7"/>
      <c r="E8" s="8"/>
      <c r="F8" s="9"/>
      <c r="V8"/>
      <c r="W8"/>
      <c r="X8"/>
      <c r="Y8"/>
      <c r="Z8"/>
      <c r="AA8"/>
    </row>
    <row r="9" spans="2:28" ht="12.95" customHeight="1" x14ac:dyDescent="0.25">
      <c r="C9" s="11"/>
      <c r="D9" s="12"/>
      <c r="E9" s="13"/>
      <c r="F9" s="14" t="s">
        <v>236</v>
      </c>
      <c r="L9" s="6" t="s">
        <v>184</v>
      </c>
      <c r="M9" s="6" t="s">
        <v>182</v>
      </c>
      <c r="V9"/>
      <c r="W9"/>
      <c r="X9"/>
      <c r="Y9"/>
      <c r="Z9"/>
      <c r="AA9"/>
    </row>
    <row r="10" spans="2:28" ht="12.95" customHeight="1" x14ac:dyDescent="0.25">
      <c r="B10" s="15" t="s">
        <v>136</v>
      </c>
      <c r="C10" s="11"/>
      <c r="D10" s="12"/>
      <c r="E10" s="13"/>
      <c r="F10" s="16"/>
      <c r="V10"/>
      <c r="W10"/>
      <c r="X10"/>
      <c r="Y10"/>
      <c r="Z10"/>
      <c r="AA10"/>
      <c r="AB10" s="17"/>
    </row>
    <row r="11" spans="2:28" ht="12.95" customHeight="1" x14ac:dyDescent="0.25">
      <c r="B11" s="18" t="s">
        <v>137</v>
      </c>
      <c r="D11" s="19"/>
      <c r="E11" s="13"/>
      <c r="F11" s="20">
        <v>4549789.3499999996</v>
      </c>
      <c r="L11" s="21">
        <v>3201659</v>
      </c>
      <c r="M11" s="21">
        <f>+F11-L11</f>
        <v>1348130.3499999996</v>
      </c>
      <c r="S11" s="21"/>
      <c r="V11"/>
      <c r="W11"/>
      <c r="X11"/>
      <c r="Y11"/>
      <c r="Z11"/>
      <c r="AA11"/>
      <c r="AB11" s="22"/>
    </row>
    <row r="12" spans="2:28" ht="12.95" hidden="1" customHeight="1" x14ac:dyDescent="0.25">
      <c r="D12" s="23"/>
      <c r="F12" s="16"/>
      <c r="L12" s="21"/>
      <c r="S12" s="21"/>
      <c r="V12"/>
      <c r="W12"/>
      <c r="X12"/>
      <c r="Y12"/>
      <c r="Z12"/>
      <c r="AA12"/>
      <c r="AB12" s="22"/>
    </row>
    <row r="13" spans="2:28" ht="12.95" customHeight="1" x14ac:dyDescent="0.25">
      <c r="D13" s="23"/>
      <c r="F13" s="16"/>
      <c r="L13" s="21"/>
      <c r="S13" s="21"/>
      <c r="V13"/>
      <c r="W13"/>
      <c r="X13"/>
      <c r="Y13"/>
      <c r="Z13"/>
      <c r="AA13"/>
      <c r="AB13" s="22"/>
    </row>
    <row r="14" spans="2:28" ht="12.95" customHeight="1" x14ac:dyDescent="0.25">
      <c r="B14" s="15" t="s">
        <v>221</v>
      </c>
      <c r="D14" s="23"/>
      <c r="F14" s="24"/>
      <c r="L14" s="21"/>
      <c r="S14" s="21"/>
      <c r="V14"/>
      <c r="W14"/>
      <c r="X14"/>
      <c r="Y14"/>
      <c r="Z14"/>
      <c r="AA14"/>
    </row>
    <row r="15" spans="2:28" ht="12.95" hidden="1" customHeight="1" x14ac:dyDescent="0.25">
      <c r="D15" s="23"/>
      <c r="F15" s="16"/>
      <c r="L15" s="21"/>
      <c r="S15" s="21"/>
      <c r="V15"/>
      <c r="W15"/>
      <c r="X15"/>
      <c r="Y15"/>
      <c r="Z15"/>
      <c r="AA15"/>
    </row>
    <row r="16" spans="2:28" ht="12.95" customHeight="1" x14ac:dyDescent="0.25">
      <c r="B16" s="18" t="s">
        <v>138</v>
      </c>
      <c r="C16" s="18"/>
      <c r="D16" s="23"/>
      <c r="F16" s="16">
        <v>5243465.28</v>
      </c>
      <c r="G16" s="25"/>
      <c r="H16" s="25"/>
      <c r="I16" s="25"/>
      <c r="J16" s="25"/>
      <c r="K16" s="25"/>
      <c r="L16" s="25">
        <v>7176043</v>
      </c>
      <c r="M16" s="21">
        <f>+F16-L16</f>
        <v>-1932577.7199999997</v>
      </c>
      <c r="N16" s="25"/>
      <c r="O16" s="25"/>
      <c r="P16" s="25"/>
      <c r="Q16" s="25"/>
      <c r="R16" s="25"/>
      <c r="S16" s="21"/>
      <c r="T16" s="26"/>
      <c r="V16"/>
      <c r="W16"/>
      <c r="X16"/>
      <c r="Y16"/>
      <c r="Z16"/>
      <c r="AA16"/>
    </row>
    <row r="17" spans="2:27" ht="12.95" hidden="1" customHeight="1" x14ac:dyDescent="0.25">
      <c r="D17" s="23"/>
      <c r="F17" s="16"/>
      <c r="L17" s="21"/>
      <c r="V17"/>
      <c r="W17"/>
      <c r="X17"/>
      <c r="Y17"/>
      <c r="Z17"/>
      <c r="AA17"/>
    </row>
    <row r="18" spans="2:27" ht="12.95" customHeight="1" x14ac:dyDescent="0.25">
      <c r="D18" s="21"/>
      <c r="F18" s="16"/>
      <c r="L18" s="21"/>
    </row>
    <row r="19" spans="2:27" ht="12.95" hidden="1" customHeight="1" x14ac:dyDescent="0.25">
      <c r="F19" s="16"/>
      <c r="L19" s="21"/>
    </row>
    <row r="20" spans="2:27" ht="12.95" customHeight="1" x14ac:dyDescent="0.25">
      <c r="B20" s="15" t="s">
        <v>180</v>
      </c>
      <c r="F20" s="27">
        <v>4512174.93</v>
      </c>
      <c r="L20" s="21">
        <v>4752663</v>
      </c>
      <c r="M20" s="21">
        <f>+F20-L20</f>
        <v>-240488.0700000003</v>
      </c>
    </row>
    <row r="21" spans="2:27" ht="12.95" hidden="1" customHeight="1" x14ac:dyDescent="0.25">
      <c r="F21" s="28"/>
      <c r="L21" s="21"/>
    </row>
    <row r="22" spans="2:27" ht="12.95" customHeight="1" x14ac:dyDescent="0.25">
      <c r="F22" s="28"/>
      <c r="L22" s="21"/>
    </row>
    <row r="23" spans="2:27" ht="12.95" customHeight="1" x14ac:dyDescent="0.25">
      <c r="B23" s="15" t="s">
        <v>139</v>
      </c>
      <c r="F23" s="29">
        <v>331154.59000000003</v>
      </c>
      <c r="L23" s="83">
        <v>496286</v>
      </c>
      <c r="M23" s="83">
        <f>+F23-L23</f>
        <v>-165131.40999999997</v>
      </c>
    </row>
    <row r="24" spans="2:27" ht="12.95" customHeight="1" x14ac:dyDescent="0.25">
      <c r="B24" s="15"/>
      <c r="T24" s="30"/>
    </row>
    <row r="25" spans="2:27" ht="15.75" thickBot="1" x14ac:dyDescent="0.3">
      <c r="B25" s="15" t="s">
        <v>140</v>
      </c>
      <c r="F25" s="31">
        <f>SUM(F11:F24)</f>
        <v>14636584.149999999</v>
      </c>
      <c r="H25" s="79" t="s">
        <v>224</v>
      </c>
      <c r="L25" s="31">
        <f>SUM(L11:L24)</f>
        <v>15626651</v>
      </c>
      <c r="M25" s="31">
        <f>SUM(M11:M24)</f>
        <v>-990066.85000000033</v>
      </c>
    </row>
    <row r="26" spans="2:27" ht="15.75" thickTop="1" x14ac:dyDescent="0.25">
      <c r="B26" s="15"/>
      <c r="F26" s="32"/>
      <c r="H26" s="90">
        <v>14475699.300000001</v>
      </c>
    </row>
    <row r="27" spans="2:27" x14ac:dyDescent="0.25">
      <c r="B27" s="15"/>
      <c r="F27" s="32"/>
      <c r="H27" s="91"/>
    </row>
    <row r="28" spans="2:27" x14ac:dyDescent="0.25">
      <c r="B28" s="15"/>
      <c r="F28" s="32"/>
    </row>
    <row r="29" spans="2:27" x14ac:dyDescent="0.25">
      <c r="B29" s="15"/>
      <c r="F29" s="21"/>
    </row>
    <row r="30" spans="2:27" x14ac:dyDescent="0.25">
      <c r="D30" s="6" t="s">
        <v>141</v>
      </c>
      <c r="F30" s="30">
        <f>+F25-F23</f>
        <v>14305429.559999999</v>
      </c>
    </row>
    <row r="32" spans="2:27" x14ac:dyDescent="0.25">
      <c r="F32" s="33"/>
      <c r="S32" s="34"/>
    </row>
    <row r="33" spans="4:28" x14ac:dyDescent="0.25">
      <c r="D33" s="79"/>
      <c r="F33" s="35"/>
    </row>
    <row r="34" spans="4:28" x14ac:dyDescent="0.25">
      <c r="F34" s="35"/>
      <c r="AB34" s="6" t="s">
        <v>142</v>
      </c>
    </row>
    <row r="35" spans="4:28" x14ac:dyDescent="0.25">
      <c r="F35" s="35"/>
      <c r="AB35" s="6" t="s">
        <v>143</v>
      </c>
    </row>
    <row r="36" spans="4:28" x14ac:dyDescent="0.25">
      <c r="F36" s="35"/>
      <c r="AB36" s="6" t="s">
        <v>144</v>
      </c>
    </row>
    <row r="37" spans="4:28" x14ac:dyDescent="0.25">
      <c r="F37" s="35"/>
      <c r="AB37" s="6" t="s">
        <v>145</v>
      </c>
    </row>
    <row r="38" spans="4:28" x14ac:dyDescent="0.25">
      <c r="F38" s="25"/>
    </row>
    <row r="39" spans="4:28" x14ac:dyDescent="0.25">
      <c r="F39" s="25"/>
    </row>
    <row r="40" spans="4:28" x14ac:dyDescent="0.25">
      <c r="F40" s="25"/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"/>
  <sheetViews>
    <sheetView topLeftCell="A29" workbookViewId="0">
      <selection activeCell="A3" sqref="A3:C70"/>
    </sheetView>
  </sheetViews>
  <sheetFormatPr defaultRowHeight="15" x14ac:dyDescent="0.25"/>
  <cols>
    <col min="1" max="1" width="43.85546875" customWidth="1"/>
    <col min="2" max="2" width="24.85546875" customWidth="1"/>
    <col min="3" max="3" width="12.5703125" bestFit="1" customWidth="1"/>
  </cols>
  <sheetData>
    <row r="1" spans="1:3" ht="18" x14ac:dyDescent="0.25">
      <c r="A1" s="100" t="s">
        <v>59</v>
      </c>
      <c r="B1" s="99"/>
    </row>
    <row r="2" spans="1:3" ht="18" x14ac:dyDescent="0.25">
      <c r="A2" s="100" t="s">
        <v>60</v>
      </c>
      <c r="B2" s="99"/>
    </row>
    <row r="3" spans="1:3" x14ac:dyDescent="0.25">
      <c r="A3" s="101" t="s">
        <v>231</v>
      </c>
      <c r="B3" s="99"/>
      <c r="C3" s="99"/>
    </row>
    <row r="5" spans="1:3" x14ac:dyDescent="0.25">
      <c r="A5" s="1"/>
      <c r="B5" s="102" t="s">
        <v>0</v>
      </c>
      <c r="C5" s="103"/>
    </row>
    <row r="6" spans="1:3" ht="36.75" customHeight="1" x14ac:dyDescent="0.25">
      <c r="A6" s="1"/>
      <c r="B6" s="84" t="s">
        <v>232</v>
      </c>
      <c r="C6" s="84" t="s">
        <v>233</v>
      </c>
    </row>
    <row r="7" spans="1:3" x14ac:dyDescent="0.25">
      <c r="A7" s="3" t="s">
        <v>1</v>
      </c>
      <c r="B7" s="2"/>
      <c r="C7" s="2"/>
    </row>
    <row r="8" spans="1:3" x14ac:dyDescent="0.25">
      <c r="A8" s="3" t="s">
        <v>2</v>
      </c>
      <c r="B8" s="2"/>
      <c r="C8" s="2"/>
    </row>
    <row r="9" spans="1:3" x14ac:dyDescent="0.25">
      <c r="A9" s="3" t="s">
        <v>3</v>
      </c>
      <c r="B9" s="2"/>
      <c r="C9" s="2"/>
    </row>
    <row r="10" spans="1:3" x14ac:dyDescent="0.25">
      <c r="A10" s="3" t="s">
        <v>4</v>
      </c>
      <c r="B10" s="5">
        <f>0</f>
        <v>0</v>
      </c>
      <c r="C10" s="5">
        <f>0</f>
        <v>0</v>
      </c>
    </row>
    <row r="11" spans="1:3" x14ac:dyDescent="0.25">
      <c r="A11" s="3" t="s">
        <v>5</v>
      </c>
      <c r="B11" s="5">
        <f>211.71</f>
        <v>211.71</v>
      </c>
      <c r="C11" s="5">
        <f>5017.71</f>
        <v>5017.71</v>
      </c>
    </row>
    <row r="12" spans="1:3" x14ac:dyDescent="0.25">
      <c r="A12" s="3" t="s">
        <v>6</v>
      </c>
      <c r="B12" s="5">
        <f>6430.78</f>
        <v>6430.78</v>
      </c>
      <c r="C12" s="5">
        <f>5543.42</f>
        <v>5543.42</v>
      </c>
    </row>
    <row r="13" spans="1:3" x14ac:dyDescent="0.25">
      <c r="A13" s="3" t="s">
        <v>7</v>
      </c>
      <c r="B13" s="5">
        <f>20192.22</f>
        <v>20192.22</v>
      </c>
      <c r="C13" s="5">
        <f>5856.97</f>
        <v>5856.97</v>
      </c>
    </row>
    <row r="14" spans="1:3" x14ac:dyDescent="0.25">
      <c r="A14" s="3" t="s">
        <v>8</v>
      </c>
      <c r="B14" s="5">
        <f>328.9</f>
        <v>328.9</v>
      </c>
      <c r="C14" s="5">
        <f>552.18</f>
        <v>552.17999999999995</v>
      </c>
    </row>
    <row r="15" spans="1:3" x14ac:dyDescent="0.25">
      <c r="A15" s="3" t="s">
        <v>220</v>
      </c>
      <c r="B15" s="5">
        <f>-185.01</f>
        <v>-185.01</v>
      </c>
      <c r="C15" s="2"/>
    </row>
    <row r="16" spans="1:3" x14ac:dyDescent="0.25">
      <c r="A16" s="3" t="s">
        <v>9</v>
      </c>
      <c r="B16" s="4">
        <f>(((((B10)+(B11))+(B12))+(B13))+(B14))+(B15)</f>
        <v>26978.600000000002</v>
      </c>
      <c r="C16" s="4">
        <f>(((((C10)+(C11))+(C12))+(C13))+(C14))+(C15)</f>
        <v>16970.280000000002</v>
      </c>
    </row>
    <row r="17" spans="1:3" x14ac:dyDescent="0.25">
      <c r="A17" s="3" t="s">
        <v>10</v>
      </c>
      <c r="B17" s="2"/>
      <c r="C17" s="2"/>
    </row>
    <row r="18" spans="1:3" x14ac:dyDescent="0.25">
      <c r="A18" s="3" t="s">
        <v>11</v>
      </c>
      <c r="B18" s="5">
        <f>14148.34</f>
        <v>14148.34</v>
      </c>
      <c r="C18" s="5">
        <f>7026.68</f>
        <v>7026.68</v>
      </c>
    </row>
    <row r="19" spans="1:3" x14ac:dyDescent="0.25">
      <c r="A19" s="3" t="s">
        <v>12</v>
      </c>
      <c r="B19" s="4">
        <f>B18</f>
        <v>14148.34</v>
      </c>
      <c r="C19" s="4">
        <f>C18</f>
        <v>7026.68</v>
      </c>
    </row>
    <row r="20" spans="1:3" x14ac:dyDescent="0.25">
      <c r="A20" s="3" t="s">
        <v>13</v>
      </c>
      <c r="B20" s="2"/>
      <c r="C20" s="2"/>
    </row>
    <row r="21" spans="1:3" x14ac:dyDescent="0.25">
      <c r="A21" s="3" t="s">
        <v>14</v>
      </c>
      <c r="B21" s="5">
        <f>0</f>
        <v>0</v>
      </c>
      <c r="C21" s="5">
        <f>0</f>
        <v>0</v>
      </c>
    </row>
    <row r="22" spans="1:3" x14ac:dyDescent="0.25">
      <c r="A22" s="3" t="s">
        <v>15</v>
      </c>
      <c r="B22" s="4">
        <f>B21</f>
        <v>0</v>
      </c>
      <c r="C22" s="4">
        <f>C21</f>
        <v>0</v>
      </c>
    </row>
    <row r="23" spans="1:3" x14ac:dyDescent="0.25">
      <c r="A23" s="3" t="s">
        <v>16</v>
      </c>
      <c r="B23" s="4">
        <f>((B16)+(B19))+(B22)</f>
        <v>41126.94</v>
      </c>
      <c r="C23" s="4">
        <f>((C16)+(C19))+(C22)</f>
        <v>23996.960000000003</v>
      </c>
    </row>
    <row r="24" spans="1:3" x14ac:dyDescent="0.25">
      <c r="A24" s="3" t="s">
        <v>17</v>
      </c>
      <c r="B24" s="2"/>
      <c r="C24" s="2"/>
    </row>
    <row r="25" spans="1:3" x14ac:dyDescent="0.25">
      <c r="A25" s="3" t="s">
        <v>18</v>
      </c>
      <c r="B25" s="5">
        <f>2328.97</f>
        <v>2328.9699999999998</v>
      </c>
      <c r="C25" s="5">
        <f>2328.97</f>
        <v>2328.9699999999998</v>
      </c>
    </row>
    <row r="26" spans="1:3" x14ac:dyDescent="0.25">
      <c r="A26" s="3" t="s">
        <v>19</v>
      </c>
      <c r="B26" s="5">
        <f>-2328.97</f>
        <v>-2328.9699999999998</v>
      </c>
      <c r="C26" s="5">
        <f>-1875.89</f>
        <v>-1875.89</v>
      </c>
    </row>
    <row r="27" spans="1:3" x14ac:dyDescent="0.25">
      <c r="A27" s="3" t="s">
        <v>20</v>
      </c>
      <c r="B27" s="4">
        <f>(B25)+(B26)</f>
        <v>0</v>
      </c>
      <c r="C27" s="4">
        <f>(C25)+(C26)</f>
        <v>453.0799999999997</v>
      </c>
    </row>
    <row r="28" spans="1:3" x14ac:dyDescent="0.25">
      <c r="A28" s="3" t="s">
        <v>21</v>
      </c>
      <c r="B28" s="4">
        <f>B27</f>
        <v>0</v>
      </c>
      <c r="C28" s="4">
        <f>C27</f>
        <v>453.0799999999997</v>
      </c>
    </row>
    <row r="29" spans="1:3" x14ac:dyDescent="0.25">
      <c r="A29" s="3" t="s">
        <v>22</v>
      </c>
      <c r="B29" s="2"/>
      <c r="C29" s="2"/>
    </row>
    <row r="30" spans="1:3" x14ac:dyDescent="0.25">
      <c r="A30" s="3" t="s">
        <v>23</v>
      </c>
      <c r="B30" s="5">
        <f>0</f>
        <v>0</v>
      </c>
      <c r="C30" s="5">
        <f>0</f>
        <v>0</v>
      </c>
    </row>
    <row r="31" spans="1:3" x14ac:dyDescent="0.25">
      <c r="A31" s="3" t="s">
        <v>24</v>
      </c>
      <c r="B31" s="5">
        <f>10113440.41</f>
        <v>10113440.41</v>
      </c>
      <c r="C31" s="5">
        <f>9413357.92</f>
        <v>9413357.9199999999</v>
      </c>
    </row>
    <row r="32" spans="1:3" x14ac:dyDescent="0.25">
      <c r="A32" s="3" t="s">
        <v>25</v>
      </c>
      <c r="B32" s="5">
        <f>4491306.37</f>
        <v>4491306.37</v>
      </c>
      <c r="C32" s="5">
        <f>3927550.01</f>
        <v>3927550.01</v>
      </c>
    </row>
    <row r="33" spans="1:3" x14ac:dyDescent="0.25">
      <c r="A33" s="3" t="s">
        <v>26</v>
      </c>
      <c r="B33" s="5">
        <f>6767.37</f>
        <v>6767.37</v>
      </c>
      <c r="C33" s="5">
        <f>6767.37</f>
        <v>6767.37</v>
      </c>
    </row>
    <row r="34" spans="1:3" x14ac:dyDescent="0.25">
      <c r="A34" s="3" t="s">
        <v>27</v>
      </c>
      <c r="B34" s="4">
        <f>(((B30)+(B31))+(B32))+(B33)</f>
        <v>14611514.15</v>
      </c>
      <c r="C34" s="4">
        <f>(((C30)+(C31))+(C32))+(C33)</f>
        <v>13347675.299999999</v>
      </c>
    </row>
    <row r="35" spans="1:3" x14ac:dyDescent="0.25">
      <c r="A35" s="3" t="s">
        <v>28</v>
      </c>
      <c r="B35" s="5">
        <f>7671</f>
        <v>7671</v>
      </c>
      <c r="C35" s="5">
        <f>-2329</f>
        <v>-2329</v>
      </c>
    </row>
    <row r="36" spans="1:3" x14ac:dyDescent="0.25">
      <c r="A36" s="3" t="s">
        <v>29</v>
      </c>
      <c r="B36" s="5">
        <f>1876</f>
        <v>1876</v>
      </c>
      <c r="C36" s="5">
        <f>1876</f>
        <v>1876</v>
      </c>
    </row>
    <row r="37" spans="1:3" x14ac:dyDescent="0.25">
      <c r="A37" s="3" t="s">
        <v>30</v>
      </c>
      <c r="B37" s="4">
        <f>(B35)+(B36)</f>
        <v>9547</v>
      </c>
      <c r="C37" s="4">
        <f>(C35)+(C36)</f>
        <v>-453</v>
      </c>
    </row>
    <row r="38" spans="1:3" x14ac:dyDescent="0.25">
      <c r="A38" s="3" t="s">
        <v>31</v>
      </c>
      <c r="B38" s="5">
        <f>70214.89</f>
        <v>70214.89</v>
      </c>
      <c r="C38" s="5">
        <f>70214.89</f>
        <v>70214.89</v>
      </c>
    </row>
    <row r="39" spans="1:3" x14ac:dyDescent="0.25">
      <c r="A39" s="3" t="s">
        <v>32</v>
      </c>
      <c r="B39" s="5">
        <f>4399.69</f>
        <v>4399.6899999999996</v>
      </c>
      <c r="C39" s="5">
        <f>4399.69</f>
        <v>4399.6899999999996</v>
      </c>
    </row>
    <row r="40" spans="1:3" x14ac:dyDescent="0.25">
      <c r="A40" s="3" t="s">
        <v>33</v>
      </c>
      <c r="B40" s="5">
        <f>0</f>
        <v>0</v>
      </c>
      <c r="C40" s="5">
        <f>0</f>
        <v>0</v>
      </c>
    </row>
    <row r="41" spans="1:3" x14ac:dyDescent="0.25">
      <c r="A41" s="3" t="s">
        <v>34</v>
      </c>
      <c r="B41" s="5">
        <f>0</f>
        <v>0</v>
      </c>
      <c r="C41" s="5">
        <f>0</f>
        <v>0</v>
      </c>
    </row>
    <row r="42" spans="1:3" x14ac:dyDescent="0.25">
      <c r="A42" s="3" t="s">
        <v>35</v>
      </c>
      <c r="B42" s="5">
        <f>0</f>
        <v>0</v>
      </c>
      <c r="C42" s="5">
        <f>0</f>
        <v>0</v>
      </c>
    </row>
    <row r="43" spans="1:3" x14ac:dyDescent="0.25">
      <c r="A43" s="3" t="s">
        <v>36</v>
      </c>
      <c r="B43" s="4">
        <f>((((((B34)+(B37))+(B38))+(B39))+(B40))+(B41))+(B42)</f>
        <v>14695675.73</v>
      </c>
      <c r="C43" s="4">
        <f>((((((C34)+(C37))+(C38))+(C39))+(C40))+(C41))+(C42)</f>
        <v>13421836.879999999</v>
      </c>
    </row>
    <row r="44" spans="1:3" x14ac:dyDescent="0.25">
      <c r="A44" s="3" t="s">
        <v>37</v>
      </c>
      <c r="B44" s="4">
        <f>((B23)+(B28))+(B43)</f>
        <v>14736802.67</v>
      </c>
      <c r="C44" s="4">
        <f>((C23)+(C28))+(C43)</f>
        <v>13446286.919999998</v>
      </c>
    </row>
    <row r="45" spans="1:3" x14ac:dyDescent="0.25">
      <c r="A45" s="3" t="s">
        <v>38</v>
      </c>
      <c r="B45" s="2"/>
      <c r="C45" s="2"/>
    </row>
    <row r="46" spans="1:3" x14ac:dyDescent="0.25">
      <c r="A46" s="3" t="s">
        <v>39</v>
      </c>
      <c r="B46" s="2"/>
      <c r="C46" s="2"/>
    </row>
    <row r="47" spans="1:3" x14ac:dyDescent="0.25">
      <c r="A47" s="3" t="s">
        <v>40</v>
      </c>
      <c r="B47" s="2"/>
      <c r="C47" s="2"/>
    </row>
    <row r="48" spans="1:3" x14ac:dyDescent="0.25">
      <c r="A48" s="3" t="s">
        <v>41</v>
      </c>
      <c r="B48" s="2"/>
      <c r="C48" s="2"/>
    </row>
    <row r="49" spans="1:3" x14ac:dyDescent="0.25">
      <c r="A49" s="3" t="s">
        <v>42</v>
      </c>
      <c r="B49" s="5">
        <f>2580</f>
        <v>2580</v>
      </c>
      <c r="C49" s="5">
        <f>3956</f>
        <v>3956</v>
      </c>
    </row>
    <row r="50" spans="1:3" x14ac:dyDescent="0.25">
      <c r="A50" s="3" t="s">
        <v>43</v>
      </c>
      <c r="B50" s="4">
        <f>B49</f>
        <v>2580</v>
      </c>
      <c r="C50" s="4">
        <f>C49</f>
        <v>3956</v>
      </c>
    </row>
    <row r="51" spans="1:3" x14ac:dyDescent="0.25">
      <c r="A51" s="3" t="s">
        <v>44</v>
      </c>
      <c r="B51" s="2"/>
      <c r="C51" s="2"/>
    </row>
    <row r="52" spans="1:3" x14ac:dyDescent="0.25">
      <c r="A52" s="3" t="s">
        <v>45</v>
      </c>
      <c r="B52" s="5">
        <f>0</f>
        <v>0</v>
      </c>
      <c r="C52" s="5">
        <f>0</f>
        <v>0</v>
      </c>
    </row>
    <row r="53" spans="1:3" x14ac:dyDescent="0.25">
      <c r="A53" s="3" t="s">
        <v>46</v>
      </c>
      <c r="B53" s="5">
        <f>10500</f>
        <v>10500</v>
      </c>
      <c r="C53" s="5">
        <f>20119.82</f>
        <v>20119.82</v>
      </c>
    </row>
    <row r="54" spans="1:3" x14ac:dyDescent="0.25">
      <c r="A54" s="3" t="s">
        <v>47</v>
      </c>
      <c r="B54" s="5">
        <f>4496177.11</f>
        <v>4496177.1100000003</v>
      </c>
      <c r="C54" s="5">
        <f>3932420.75</f>
        <v>3932420.75</v>
      </c>
    </row>
    <row r="55" spans="1:3" x14ac:dyDescent="0.25">
      <c r="A55" s="3" t="s">
        <v>48</v>
      </c>
      <c r="B55" s="4">
        <f>((B52)+(B53))+(B54)</f>
        <v>4506677.1100000003</v>
      </c>
      <c r="C55" s="4">
        <f>((C52)+(C53))+(C54)</f>
        <v>3952540.57</v>
      </c>
    </row>
    <row r="56" spans="1:3" x14ac:dyDescent="0.25">
      <c r="A56" s="3" t="s">
        <v>49</v>
      </c>
      <c r="B56" s="4">
        <f>(B50)+(B55)</f>
        <v>4509257.1100000003</v>
      </c>
      <c r="C56" s="4">
        <f>(C50)+(C55)</f>
        <v>3956496.57</v>
      </c>
    </row>
    <row r="57" spans="1:3" x14ac:dyDescent="0.25">
      <c r="A57" s="3" t="s">
        <v>50</v>
      </c>
      <c r="B57" s="4">
        <f>B56</f>
        <v>4509257.1100000003</v>
      </c>
      <c r="C57" s="4">
        <f>C56</f>
        <v>3956496.57</v>
      </c>
    </row>
    <row r="58" spans="1:3" x14ac:dyDescent="0.25">
      <c r="A58" s="3" t="s">
        <v>51</v>
      </c>
      <c r="B58" s="2"/>
      <c r="C58" s="2"/>
    </row>
    <row r="59" spans="1:3" x14ac:dyDescent="0.25">
      <c r="A59" s="3" t="s">
        <v>52</v>
      </c>
      <c r="B59" s="5">
        <f>3800186.96</f>
        <v>3800186.96</v>
      </c>
      <c r="C59" s="5">
        <f>3800186.96</f>
        <v>3800186.96</v>
      </c>
    </row>
    <row r="60" spans="1:3" x14ac:dyDescent="0.25">
      <c r="A60" s="3" t="s">
        <v>53</v>
      </c>
      <c r="B60" s="5">
        <f>4629794.91</f>
        <v>4629794.91</v>
      </c>
      <c r="C60" s="5">
        <f>4629794.91</f>
        <v>4629794.91</v>
      </c>
    </row>
    <row r="61" spans="1:3" x14ac:dyDescent="0.25">
      <c r="A61" s="3" t="s">
        <v>54</v>
      </c>
      <c r="B61" s="5">
        <f>761386.07</f>
        <v>761386.07</v>
      </c>
      <c r="C61" s="5">
        <f>761386.07</f>
        <v>761386.07</v>
      </c>
    </row>
    <row r="62" spans="1:3" x14ac:dyDescent="0.25">
      <c r="A62" s="3" t="s">
        <v>55</v>
      </c>
      <c r="B62" s="5">
        <f>1302529.31</f>
        <v>1302529.31</v>
      </c>
      <c r="C62" s="5">
        <f>400842.21</f>
        <v>400842.21</v>
      </c>
    </row>
    <row r="63" spans="1:3" x14ac:dyDescent="0.25">
      <c r="A63" s="3" t="s">
        <v>56</v>
      </c>
      <c r="B63" s="5">
        <f>-266351.69</f>
        <v>-266351.69</v>
      </c>
      <c r="C63" s="5">
        <f>-102419.8</f>
        <v>-102419.8</v>
      </c>
    </row>
    <row r="64" spans="1:3" x14ac:dyDescent="0.25">
      <c r="A64" s="3" t="s">
        <v>57</v>
      </c>
      <c r="B64" s="4">
        <f>((((B59)+(B60))+(B61))+(B62))+(B63)</f>
        <v>10227545.560000002</v>
      </c>
      <c r="C64" s="4">
        <f>((((C59)+(C60))+(C61))+(C62))+(C63)</f>
        <v>9489790.3500000015</v>
      </c>
    </row>
    <row r="65" spans="1:3" x14ac:dyDescent="0.25">
      <c r="A65" s="3" t="s">
        <v>58</v>
      </c>
      <c r="B65" s="4">
        <f>(B57)+(B64)</f>
        <v>14736802.670000002</v>
      </c>
      <c r="C65" s="4">
        <f>(C57)+(C64)</f>
        <v>13446286.920000002</v>
      </c>
    </row>
    <row r="66" spans="1:3" x14ac:dyDescent="0.25">
      <c r="A66" s="3"/>
      <c r="B66" s="2"/>
      <c r="C66" s="2"/>
    </row>
    <row r="67" spans="1:3" x14ac:dyDescent="0.25">
      <c r="A67" s="104" t="s">
        <v>61</v>
      </c>
      <c r="B67" s="104"/>
      <c r="C67" s="104"/>
    </row>
    <row r="69" spans="1:3" x14ac:dyDescent="0.25">
      <c r="A69" s="98" t="s">
        <v>234</v>
      </c>
      <c r="B69" s="99"/>
      <c r="C69" s="99"/>
    </row>
  </sheetData>
  <mergeCells count="6">
    <mergeCell ref="A69:C69"/>
    <mergeCell ref="A1:B1"/>
    <mergeCell ref="A2:B2"/>
    <mergeCell ref="A3:C3"/>
    <mergeCell ref="B5:C5"/>
    <mergeCell ref="A67:C6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87"/>
  <sheetViews>
    <sheetView tabSelected="1" topLeftCell="A3" zoomScale="110" zoomScaleNormal="110" workbookViewId="0">
      <pane xSplit="1" ySplit="7" topLeftCell="B10" activePane="bottomRight" state="frozen"/>
      <selection activeCell="A3" sqref="A3"/>
      <selection pane="topRight" activeCell="B3" sqref="B3"/>
      <selection pane="bottomLeft" activeCell="A10" sqref="A10"/>
      <selection pane="bottomRight" activeCell="B5" sqref="B5"/>
    </sheetView>
  </sheetViews>
  <sheetFormatPr defaultRowHeight="15" x14ac:dyDescent="0.25"/>
  <cols>
    <col min="1" max="1" width="40.42578125" customWidth="1"/>
    <col min="2" max="5" width="16.28515625" customWidth="1"/>
    <col min="6" max="6" width="12.28515625" bestFit="1" customWidth="1"/>
    <col min="7" max="7" width="22.5703125" customWidth="1"/>
    <col min="8" max="8" width="13.140625" bestFit="1" customWidth="1"/>
    <col min="9" max="9" width="17.140625" customWidth="1"/>
    <col min="10" max="10" width="12.85546875" customWidth="1"/>
    <col min="11" max="11" width="10.5703125" bestFit="1" customWidth="1"/>
  </cols>
  <sheetData>
    <row r="1" spans="1:8" ht="18" x14ac:dyDescent="0.25">
      <c r="A1" s="100" t="s">
        <v>59</v>
      </c>
      <c r="B1" s="99"/>
      <c r="C1" s="99"/>
      <c r="D1" s="99"/>
      <c r="E1" s="99"/>
    </row>
    <row r="2" spans="1:8" ht="18" x14ac:dyDescent="0.25">
      <c r="A2" s="100" t="s">
        <v>187</v>
      </c>
      <c r="B2" s="99"/>
      <c r="C2" s="99"/>
      <c r="D2" s="99"/>
      <c r="E2" s="99"/>
    </row>
    <row r="3" spans="1:8" x14ac:dyDescent="0.25">
      <c r="A3" s="105" t="s">
        <v>244</v>
      </c>
      <c r="B3" s="99"/>
      <c r="C3" s="99"/>
      <c r="D3" s="99"/>
      <c r="E3" s="99"/>
    </row>
    <row r="5" spans="1:8" ht="21" x14ac:dyDescent="0.35">
      <c r="A5" s="106" t="s">
        <v>240</v>
      </c>
    </row>
    <row r="6" spans="1:8" ht="21" x14ac:dyDescent="0.35">
      <c r="A6" s="106" t="s">
        <v>241</v>
      </c>
    </row>
    <row r="7" spans="1:8" ht="21" x14ac:dyDescent="0.35">
      <c r="A7" s="106" t="s">
        <v>242</v>
      </c>
    </row>
    <row r="8" spans="1:8" x14ac:dyDescent="0.25">
      <c r="A8" s="107"/>
      <c r="B8" s="102" t="s">
        <v>0</v>
      </c>
      <c r="C8" s="103"/>
      <c r="D8" s="103"/>
      <c r="E8" s="103"/>
    </row>
    <row r="9" spans="1:8" ht="28.5" customHeight="1" x14ac:dyDescent="0.25">
      <c r="A9" s="107"/>
      <c r="B9" s="84" t="s">
        <v>125</v>
      </c>
      <c r="C9" s="84" t="s">
        <v>124</v>
      </c>
      <c r="D9" s="84" t="s">
        <v>123</v>
      </c>
      <c r="E9" s="84" t="s">
        <v>122</v>
      </c>
    </row>
    <row r="10" spans="1:8" x14ac:dyDescent="0.25">
      <c r="A10" s="108" t="s">
        <v>121</v>
      </c>
      <c r="B10" s="2"/>
      <c r="C10" s="2"/>
      <c r="D10" s="2"/>
      <c r="E10" s="2"/>
    </row>
    <row r="11" spans="1:8" x14ac:dyDescent="0.25">
      <c r="A11" s="108" t="s">
        <v>120</v>
      </c>
      <c r="B11" s="2"/>
      <c r="C11" s="2"/>
      <c r="D11" s="5">
        <f t="shared" ref="D11:D20" si="0">(B11)-(C11)</f>
        <v>0</v>
      </c>
      <c r="E11" s="88" t="str">
        <f t="shared" ref="E11:E20" si="1">IF(C11=0,"",(B11)/(C11))</f>
        <v/>
      </c>
    </row>
    <row r="12" spans="1:8" x14ac:dyDescent="0.25">
      <c r="A12" s="108" t="s">
        <v>119</v>
      </c>
      <c r="B12" s="5">
        <f>9896.91</f>
        <v>9896.91</v>
      </c>
      <c r="C12" s="5">
        <f>10687.5</f>
        <v>10687.5</v>
      </c>
      <c r="D12" s="5">
        <f t="shared" si="0"/>
        <v>-790.59000000000015</v>
      </c>
      <c r="E12" s="88">
        <f t="shared" si="1"/>
        <v>0.92602666666666666</v>
      </c>
    </row>
    <row r="13" spans="1:8" x14ac:dyDescent="0.25">
      <c r="A13" s="108" t="s">
        <v>118</v>
      </c>
      <c r="B13" s="2"/>
      <c r="C13" s="2"/>
      <c r="D13" s="5">
        <f t="shared" si="0"/>
        <v>0</v>
      </c>
      <c r="E13" s="88" t="str">
        <f t="shared" si="1"/>
        <v/>
      </c>
    </row>
    <row r="14" spans="1:8" x14ac:dyDescent="0.25">
      <c r="A14" s="108" t="s">
        <v>117</v>
      </c>
      <c r="B14" s="5">
        <f>36576.07</f>
        <v>36576.07</v>
      </c>
      <c r="C14" s="5">
        <f>36250</f>
        <v>36250</v>
      </c>
      <c r="D14" s="5">
        <f t="shared" si="0"/>
        <v>326.06999999999971</v>
      </c>
      <c r="E14" s="88">
        <f t="shared" si="1"/>
        <v>1.0089950344827585</v>
      </c>
    </row>
    <row r="15" spans="1:8" x14ac:dyDescent="0.25">
      <c r="A15" s="108" t="s">
        <v>188</v>
      </c>
      <c r="B15" s="4">
        <f>(B13)+(B14)</f>
        <v>36576.07</v>
      </c>
      <c r="C15" s="4">
        <f>(C13)+(C14)</f>
        <v>36250</v>
      </c>
      <c r="D15" s="4">
        <f t="shared" si="0"/>
        <v>326.06999999999971</v>
      </c>
      <c r="E15" s="89">
        <f t="shared" si="1"/>
        <v>1.0089950344827585</v>
      </c>
      <c r="H15" s="76"/>
    </row>
    <row r="16" spans="1:8" x14ac:dyDescent="0.25">
      <c r="A16" s="108" t="s">
        <v>189</v>
      </c>
      <c r="B16" s="5">
        <f>8333.34</f>
        <v>8333.34</v>
      </c>
      <c r="C16" s="5">
        <f>8333.34</f>
        <v>8333.34</v>
      </c>
      <c r="D16" s="5">
        <f t="shared" si="0"/>
        <v>0</v>
      </c>
      <c r="E16" s="88">
        <f t="shared" si="1"/>
        <v>1</v>
      </c>
    </row>
    <row r="17" spans="1:9" x14ac:dyDescent="0.25">
      <c r="A17" s="108" t="s">
        <v>116</v>
      </c>
      <c r="B17" s="4">
        <f>(((B11)+(B12))+(B15))+(B16)</f>
        <v>54806.319999999992</v>
      </c>
      <c r="C17" s="4">
        <f>(((C11)+(C12))+(C15))+(C16)</f>
        <v>55270.84</v>
      </c>
      <c r="D17" s="4">
        <f t="shared" si="0"/>
        <v>-464.52000000000407</v>
      </c>
      <c r="E17" s="89">
        <f t="shared" si="1"/>
        <v>0.991595568296049</v>
      </c>
    </row>
    <row r="18" spans="1:9" x14ac:dyDescent="0.25">
      <c r="A18" s="108" t="s">
        <v>115</v>
      </c>
      <c r="B18" s="5">
        <f>136.73</f>
        <v>136.72999999999999</v>
      </c>
      <c r="C18" s="2"/>
      <c r="D18" s="5">
        <f t="shared" si="0"/>
        <v>136.72999999999999</v>
      </c>
      <c r="E18" s="88" t="str">
        <f t="shared" si="1"/>
        <v/>
      </c>
    </row>
    <row r="19" spans="1:9" x14ac:dyDescent="0.25">
      <c r="A19" s="108" t="s">
        <v>114</v>
      </c>
      <c r="B19" s="4">
        <f>(B17)+(B18)</f>
        <v>54943.049999999996</v>
      </c>
      <c r="C19" s="4">
        <f>(C17)+(C18)</f>
        <v>55270.84</v>
      </c>
      <c r="D19" s="4">
        <f t="shared" si="0"/>
        <v>-327.79000000000087</v>
      </c>
      <c r="E19" s="89">
        <f t="shared" si="1"/>
        <v>0.99406938631654596</v>
      </c>
    </row>
    <row r="20" spans="1:9" x14ac:dyDescent="0.25">
      <c r="A20" s="108" t="s">
        <v>113</v>
      </c>
      <c r="B20" s="93">
        <f>(B19)-(0)</f>
        <v>54943.049999999996</v>
      </c>
      <c r="C20" s="93">
        <f>(C19)-(0)</f>
        <v>55270.84</v>
      </c>
      <c r="D20" s="93">
        <f t="shared" si="0"/>
        <v>-327.79000000000087</v>
      </c>
      <c r="E20" s="89">
        <f t="shared" si="1"/>
        <v>0.99406938631654596</v>
      </c>
      <c r="H20" s="76">
        <f>+D20</f>
        <v>-327.79000000000087</v>
      </c>
      <c r="I20" t="s">
        <v>202</v>
      </c>
    </row>
    <row r="21" spans="1:9" x14ac:dyDescent="0.25">
      <c r="A21" s="108" t="s">
        <v>112</v>
      </c>
      <c r="B21" s="2"/>
      <c r="C21" s="2"/>
      <c r="D21" s="2"/>
      <c r="E21" s="2"/>
    </row>
    <row r="22" spans="1:9" x14ac:dyDescent="0.25">
      <c r="A22" s="108" t="s">
        <v>243</v>
      </c>
      <c r="B22" s="5">
        <f>425</f>
        <v>425</v>
      </c>
      <c r="C22" s="5">
        <f>833.34</f>
        <v>833.34</v>
      </c>
      <c r="D22" s="5">
        <f t="shared" ref="D22:D64" si="2">(B22)-(C22)</f>
        <v>-408.34000000000003</v>
      </c>
      <c r="E22" s="88">
        <f t="shared" ref="E22:E64" si="3">IF(C22=0,"",(B22)/(C22))</f>
        <v>0.50999592003263972</v>
      </c>
    </row>
    <row r="23" spans="1:9" x14ac:dyDescent="0.25">
      <c r="A23" s="108" t="s">
        <v>190</v>
      </c>
      <c r="B23" s="2"/>
      <c r="C23" s="5">
        <f>2000</f>
        <v>2000</v>
      </c>
      <c r="D23" s="5">
        <f t="shared" si="2"/>
        <v>-2000</v>
      </c>
      <c r="E23" s="88">
        <f t="shared" si="3"/>
        <v>0</v>
      </c>
    </row>
    <row r="24" spans="1:9" x14ac:dyDescent="0.25">
      <c r="A24" s="108" t="s">
        <v>219</v>
      </c>
      <c r="B24" s="2"/>
      <c r="C24" s="5">
        <f>1666.66</f>
        <v>1666.66</v>
      </c>
      <c r="D24" s="5">
        <f t="shared" si="2"/>
        <v>-1666.66</v>
      </c>
      <c r="E24" s="88">
        <f t="shared" si="3"/>
        <v>0</v>
      </c>
    </row>
    <row r="25" spans="1:9" x14ac:dyDescent="0.25">
      <c r="A25" s="108" t="s">
        <v>111</v>
      </c>
      <c r="B25" s="5">
        <f>470.16</f>
        <v>470.16</v>
      </c>
      <c r="C25" s="5">
        <f>16.66</f>
        <v>16.66</v>
      </c>
      <c r="D25" s="5">
        <f t="shared" si="2"/>
        <v>453.5</v>
      </c>
      <c r="E25" s="88">
        <f t="shared" si="3"/>
        <v>28.220888355342137</v>
      </c>
      <c r="F25" t="s">
        <v>208</v>
      </c>
      <c r="G25" s="78">
        <f>SUM(B22:B32)</f>
        <v>5209.09</v>
      </c>
    </row>
    <row r="26" spans="1:9" x14ac:dyDescent="0.25">
      <c r="A26" s="108" t="s">
        <v>110</v>
      </c>
      <c r="B26" s="2"/>
      <c r="C26" s="5">
        <f>200</f>
        <v>200</v>
      </c>
      <c r="D26" s="5">
        <f t="shared" si="2"/>
        <v>-200</v>
      </c>
      <c r="E26" s="88">
        <f t="shared" si="3"/>
        <v>0</v>
      </c>
      <c r="F26" t="s">
        <v>209</v>
      </c>
      <c r="G26" s="78">
        <f>SUM(C22:C33)</f>
        <v>11837.52</v>
      </c>
    </row>
    <row r="27" spans="1:9" x14ac:dyDescent="0.25">
      <c r="A27" s="108" t="s">
        <v>109</v>
      </c>
      <c r="B27" s="2"/>
      <c r="C27" s="5">
        <f>1029.16</f>
        <v>1029.1600000000001</v>
      </c>
      <c r="D27" s="5">
        <f t="shared" si="2"/>
        <v>-1029.1600000000001</v>
      </c>
      <c r="E27" s="88">
        <f t="shared" si="3"/>
        <v>0</v>
      </c>
      <c r="G27" s="75">
        <f>+G26-G25</f>
        <v>6628.43</v>
      </c>
    </row>
    <row r="28" spans="1:9" x14ac:dyDescent="0.25">
      <c r="A28" s="108" t="s">
        <v>108</v>
      </c>
      <c r="B28" s="5">
        <f>313.93</f>
        <v>313.93</v>
      </c>
      <c r="C28" s="5">
        <f>833.34</f>
        <v>833.34</v>
      </c>
      <c r="D28" s="5">
        <f t="shared" si="2"/>
        <v>-519.41000000000008</v>
      </c>
      <c r="E28" s="88">
        <f t="shared" si="3"/>
        <v>0.37671298629610961</v>
      </c>
      <c r="G28" s="77"/>
      <c r="H28" s="75">
        <f>+D22+D23+D24+D25+D26+D27+D28+D29+D30+D31+D32</f>
        <v>-6628.43</v>
      </c>
      <c r="I28" t="s">
        <v>203</v>
      </c>
    </row>
    <row r="29" spans="1:9" x14ac:dyDescent="0.25">
      <c r="A29" s="108" t="s">
        <v>212</v>
      </c>
      <c r="B29" s="5">
        <f>4000</f>
        <v>4000</v>
      </c>
      <c r="C29" s="5">
        <f>4833.34</f>
        <v>4833.34</v>
      </c>
      <c r="D29" s="5">
        <f t="shared" si="2"/>
        <v>-833.34000000000015</v>
      </c>
      <c r="E29" s="88">
        <f t="shared" si="3"/>
        <v>0.82758506539990973</v>
      </c>
    </row>
    <row r="30" spans="1:9" x14ac:dyDescent="0.25">
      <c r="A30" s="108" t="s">
        <v>107</v>
      </c>
      <c r="B30" s="2"/>
      <c r="C30" s="5">
        <f>8.34</f>
        <v>8.34</v>
      </c>
      <c r="D30" s="5">
        <f t="shared" si="2"/>
        <v>-8.34</v>
      </c>
      <c r="E30" s="88">
        <f t="shared" si="3"/>
        <v>0</v>
      </c>
    </row>
    <row r="31" spans="1:9" x14ac:dyDescent="0.25">
      <c r="A31" s="108" t="s">
        <v>106</v>
      </c>
      <c r="B31" s="2"/>
      <c r="C31" s="5">
        <f>333.34</f>
        <v>333.34</v>
      </c>
      <c r="D31" s="5">
        <f t="shared" si="2"/>
        <v>-333.34</v>
      </c>
      <c r="E31" s="88">
        <f t="shared" si="3"/>
        <v>0</v>
      </c>
    </row>
    <row r="32" spans="1:9" x14ac:dyDescent="0.25">
      <c r="A32" s="108" t="s">
        <v>105</v>
      </c>
      <c r="B32" s="2"/>
      <c r="C32" s="5">
        <f>83.34</f>
        <v>83.34</v>
      </c>
      <c r="D32" s="5">
        <f t="shared" si="2"/>
        <v>-83.34</v>
      </c>
      <c r="E32" s="88">
        <f t="shared" si="3"/>
        <v>0</v>
      </c>
      <c r="G32" t="s">
        <v>225</v>
      </c>
    </row>
    <row r="33" spans="1:11" x14ac:dyDescent="0.25">
      <c r="A33" s="108" t="s">
        <v>104</v>
      </c>
      <c r="B33" s="2"/>
      <c r="C33" s="2"/>
      <c r="D33" s="5">
        <f t="shared" si="2"/>
        <v>0</v>
      </c>
      <c r="E33" s="88" t="str">
        <f t="shared" si="3"/>
        <v/>
      </c>
      <c r="F33" t="s">
        <v>208</v>
      </c>
      <c r="G33" s="80">
        <f>SUM(B33:B37)</f>
        <v>22473.910000000003</v>
      </c>
    </row>
    <row r="34" spans="1:11" x14ac:dyDescent="0.25">
      <c r="A34" s="108" t="s">
        <v>103</v>
      </c>
      <c r="B34" s="5">
        <f>1439.38</f>
        <v>1439.38</v>
      </c>
      <c r="C34" s="2"/>
      <c r="D34" s="5">
        <f t="shared" si="2"/>
        <v>1439.38</v>
      </c>
      <c r="E34" s="88" t="str">
        <f t="shared" si="3"/>
        <v/>
      </c>
      <c r="F34" t="s">
        <v>209</v>
      </c>
      <c r="G34" s="80">
        <f>SUM(C33:C37)</f>
        <v>26012.48</v>
      </c>
      <c r="H34" s="78"/>
    </row>
    <row r="35" spans="1:11" x14ac:dyDescent="0.25">
      <c r="A35" s="108" t="s">
        <v>102</v>
      </c>
      <c r="B35" s="5">
        <f>18823.2</f>
        <v>18823.2</v>
      </c>
      <c r="C35" s="5">
        <f>23496.16</f>
        <v>23496.16</v>
      </c>
      <c r="D35" s="5">
        <f t="shared" si="2"/>
        <v>-4672.9599999999991</v>
      </c>
      <c r="E35" s="88">
        <f t="shared" si="3"/>
        <v>0.80111814015566807</v>
      </c>
      <c r="G35" s="80">
        <f>+G33-G34</f>
        <v>-3538.5699999999961</v>
      </c>
      <c r="H35" s="82">
        <f>+G35</f>
        <v>-3538.5699999999961</v>
      </c>
      <c r="I35" t="s">
        <v>203</v>
      </c>
    </row>
    <row r="36" spans="1:11" x14ac:dyDescent="0.25">
      <c r="A36" s="108" t="s">
        <v>101</v>
      </c>
      <c r="B36" s="2"/>
      <c r="C36" s="5">
        <f>166.66</f>
        <v>166.66</v>
      </c>
      <c r="D36" s="5">
        <f t="shared" si="2"/>
        <v>-166.66</v>
      </c>
      <c r="E36" s="88">
        <f t="shared" si="3"/>
        <v>0</v>
      </c>
      <c r="G36" s="80"/>
    </row>
    <row r="37" spans="1:11" x14ac:dyDescent="0.25">
      <c r="A37" s="108" t="s">
        <v>100</v>
      </c>
      <c r="B37" s="5">
        <f>2211.33</f>
        <v>2211.33</v>
      </c>
      <c r="C37" s="5">
        <f>2349.66</f>
        <v>2349.66</v>
      </c>
      <c r="D37" s="5">
        <f t="shared" si="2"/>
        <v>-138.32999999999993</v>
      </c>
      <c r="E37" s="88">
        <f t="shared" si="3"/>
        <v>0.94112765251142716</v>
      </c>
    </row>
    <row r="38" spans="1:11" x14ac:dyDescent="0.25">
      <c r="A38" s="108" t="s">
        <v>99</v>
      </c>
      <c r="B38" s="93">
        <f>((((B33)+(B34))+(B35))+(B36))+(B37)</f>
        <v>22473.910000000003</v>
      </c>
      <c r="C38" s="93">
        <f>((((C33)+(C34))+(C35))+(C36))+(C37)</f>
        <v>26012.48</v>
      </c>
      <c r="D38" s="93">
        <f t="shared" si="2"/>
        <v>-3538.5699999999961</v>
      </c>
      <c r="E38" s="89">
        <f t="shared" si="3"/>
        <v>0.86396644995017791</v>
      </c>
      <c r="K38" s="75">
        <f>+H43+H34</f>
        <v>-166.65999999999985</v>
      </c>
    </row>
    <row r="39" spans="1:11" x14ac:dyDescent="0.25">
      <c r="A39" s="108" t="s">
        <v>98</v>
      </c>
      <c r="B39" s="2"/>
      <c r="C39" s="2"/>
      <c r="D39" s="5">
        <f t="shared" si="2"/>
        <v>0</v>
      </c>
      <c r="E39" s="88" t="str">
        <f t="shared" si="3"/>
        <v/>
      </c>
    </row>
    <row r="40" spans="1:11" x14ac:dyDescent="0.25">
      <c r="A40" s="108" t="s">
        <v>97</v>
      </c>
      <c r="B40" s="5">
        <f>4400</f>
        <v>4400</v>
      </c>
      <c r="C40" s="5">
        <f>4400</f>
        <v>4400</v>
      </c>
      <c r="D40" s="5">
        <f t="shared" si="2"/>
        <v>0</v>
      </c>
      <c r="E40" s="88">
        <f t="shared" si="3"/>
        <v>1</v>
      </c>
    </row>
    <row r="41" spans="1:11" x14ac:dyDescent="0.25">
      <c r="A41" s="108" t="s">
        <v>96</v>
      </c>
      <c r="B41" s="2"/>
      <c r="C41" s="5">
        <f>0</f>
        <v>0</v>
      </c>
      <c r="D41" s="5">
        <f t="shared" si="2"/>
        <v>0</v>
      </c>
      <c r="E41" s="88" t="str">
        <f t="shared" si="3"/>
        <v/>
      </c>
    </row>
    <row r="42" spans="1:11" x14ac:dyDescent="0.25">
      <c r="A42" s="108" t="s">
        <v>95</v>
      </c>
      <c r="B42" s="2"/>
      <c r="C42" s="5">
        <f>166.66</f>
        <v>166.66</v>
      </c>
      <c r="D42" s="5">
        <f t="shared" si="2"/>
        <v>-166.66</v>
      </c>
      <c r="E42" s="88">
        <f t="shared" si="3"/>
        <v>0</v>
      </c>
    </row>
    <row r="43" spans="1:11" x14ac:dyDescent="0.25">
      <c r="A43" s="108" t="s">
        <v>94</v>
      </c>
      <c r="B43" s="93">
        <f>(((B39)+(B40))+(B41))+(B42)</f>
        <v>4400</v>
      </c>
      <c r="C43" s="93">
        <f>(((C39)+(C40))+(C41))+(C42)</f>
        <v>4566.66</v>
      </c>
      <c r="D43" s="93">
        <f t="shared" si="2"/>
        <v>-166.65999999999985</v>
      </c>
      <c r="E43" s="89">
        <f t="shared" si="3"/>
        <v>0.96350505621176097</v>
      </c>
      <c r="H43" s="76">
        <f>+D43</f>
        <v>-166.65999999999985</v>
      </c>
      <c r="I43" t="s">
        <v>203</v>
      </c>
    </row>
    <row r="44" spans="1:11" x14ac:dyDescent="0.25">
      <c r="A44" s="108" t="s">
        <v>93</v>
      </c>
      <c r="B44" s="2"/>
      <c r="C44" s="2"/>
      <c r="D44" s="5">
        <f t="shared" si="2"/>
        <v>0</v>
      </c>
      <c r="E44" s="88" t="str">
        <f t="shared" si="3"/>
        <v/>
      </c>
    </row>
    <row r="45" spans="1:11" x14ac:dyDescent="0.25">
      <c r="A45" s="108" t="s">
        <v>92</v>
      </c>
      <c r="B45" s="5">
        <f>0</f>
        <v>0</v>
      </c>
      <c r="C45" s="2"/>
      <c r="D45" s="5">
        <f t="shared" si="2"/>
        <v>0</v>
      </c>
      <c r="E45" s="88" t="str">
        <f t="shared" si="3"/>
        <v/>
      </c>
    </row>
    <row r="46" spans="1:11" x14ac:dyDescent="0.25">
      <c r="A46" s="108" t="s">
        <v>91</v>
      </c>
      <c r="B46" s="5">
        <f>1212.02</f>
        <v>1212.02</v>
      </c>
      <c r="C46" s="5">
        <f>0</f>
        <v>0</v>
      </c>
      <c r="D46" s="5">
        <f t="shared" si="2"/>
        <v>1212.02</v>
      </c>
      <c r="E46" s="88" t="str">
        <f t="shared" si="3"/>
        <v/>
      </c>
    </row>
    <row r="47" spans="1:11" x14ac:dyDescent="0.25">
      <c r="A47" s="108" t="s">
        <v>90</v>
      </c>
      <c r="B47" s="4">
        <f>((B44)+(B45))+(B46)</f>
        <v>1212.02</v>
      </c>
      <c r="C47" s="4">
        <f>((C44)+(C45))+(C46)</f>
        <v>0</v>
      </c>
      <c r="D47" s="4">
        <f t="shared" si="2"/>
        <v>1212.02</v>
      </c>
      <c r="E47" s="89" t="str">
        <f t="shared" si="3"/>
        <v/>
      </c>
      <c r="H47" s="76">
        <f>+D47</f>
        <v>1212.02</v>
      </c>
      <c r="I47" t="s">
        <v>204</v>
      </c>
    </row>
    <row r="48" spans="1:11" x14ac:dyDescent="0.25">
      <c r="A48" s="108" t="s">
        <v>89</v>
      </c>
      <c r="B48" s="2"/>
      <c r="C48" s="2"/>
      <c r="D48" s="5">
        <f t="shared" si="2"/>
        <v>0</v>
      </c>
      <c r="E48" s="88" t="str">
        <f t="shared" si="3"/>
        <v/>
      </c>
    </row>
    <row r="49" spans="1:11" x14ac:dyDescent="0.25">
      <c r="A49" s="108" t="s">
        <v>88</v>
      </c>
      <c r="B49" s="5">
        <f>30.5</f>
        <v>30.5</v>
      </c>
      <c r="C49" s="5">
        <f>166.66</f>
        <v>166.66</v>
      </c>
      <c r="D49" s="5">
        <f t="shared" si="2"/>
        <v>-136.16</v>
      </c>
      <c r="E49" s="88">
        <f t="shared" si="3"/>
        <v>0.18300732029281172</v>
      </c>
    </row>
    <row r="50" spans="1:11" x14ac:dyDescent="0.25">
      <c r="A50" s="108" t="s">
        <v>87</v>
      </c>
      <c r="B50" s="5">
        <f>304.27</f>
        <v>304.27</v>
      </c>
      <c r="C50" s="5">
        <f>83.34</f>
        <v>83.34</v>
      </c>
      <c r="D50" s="5">
        <f t="shared" si="2"/>
        <v>220.92999999999998</v>
      </c>
      <c r="E50" s="88">
        <f t="shared" si="3"/>
        <v>3.6509479241660663</v>
      </c>
    </row>
    <row r="51" spans="1:11" x14ac:dyDescent="0.25">
      <c r="A51" s="108" t="s">
        <v>86</v>
      </c>
      <c r="B51" s="5">
        <f>138.33</f>
        <v>138.33000000000001</v>
      </c>
      <c r="C51" s="5">
        <f>166.66</f>
        <v>166.66</v>
      </c>
      <c r="D51" s="5">
        <f t="shared" si="2"/>
        <v>-28.329999999999984</v>
      </c>
      <c r="E51" s="88">
        <f t="shared" si="3"/>
        <v>0.83001320052802119</v>
      </c>
    </row>
    <row r="52" spans="1:11" x14ac:dyDescent="0.25">
      <c r="A52" s="108" t="s">
        <v>85</v>
      </c>
      <c r="B52" s="5">
        <f>500</f>
        <v>500</v>
      </c>
      <c r="C52" s="5">
        <f>500</f>
        <v>500</v>
      </c>
      <c r="D52" s="5">
        <f t="shared" si="2"/>
        <v>0</v>
      </c>
      <c r="E52" s="88">
        <f t="shared" si="3"/>
        <v>1</v>
      </c>
    </row>
    <row r="53" spans="1:11" x14ac:dyDescent="0.25">
      <c r="A53" s="108" t="s">
        <v>84</v>
      </c>
      <c r="B53" s="2"/>
      <c r="C53" s="5">
        <f>0</f>
        <v>0</v>
      </c>
      <c r="D53" s="5">
        <f t="shared" si="2"/>
        <v>0</v>
      </c>
      <c r="E53" s="88" t="str">
        <f t="shared" si="3"/>
        <v/>
      </c>
    </row>
    <row r="54" spans="1:11" x14ac:dyDescent="0.25">
      <c r="A54" s="108" t="s">
        <v>83</v>
      </c>
      <c r="B54" s="5">
        <f>180.82</f>
        <v>180.82</v>
      </c>
      <c r="C54" s="5">
        <f>200</f>
        <v>200</v>
      </c>
      <c r="D54" s="5">
        <f t="shared" si="2"/>
        <v>-19.180000000000007</v>
      </c>
      <c r="E54" s="88">
        <f t="shared" si="3"/>
        <v>0.90410000000000001</v>
      </c>
      <c r="H54" s="76">
        <f>+D55</f>
        <v>37.260000000000218</v>
      </c>
      <c r="I54" t="s">
        <v>204</v>
      </c>
    </row>
    <row r="55" spans="1:11" x14ac:dyDescent="0.25">
      <c r="A55" s="108" t="s">
        <v>82</v>
      </c>
      <c r="B55" s="93">
        <f>((((((B48)+(B49))+(B50))+(B51))+(B52))+(B53))+(B54)</f>
        <v>1153.92</v>
      </c>
      <c r="C55" s="93">
        <f>((((((C48)+(C49))+(C50))+(C51))+(C52))+(C53))+(C54)</f>
        <v>1116.6599999999999</v>
      </c>
      <c r="D55" s="93">
        <f t="shared" si="2"/>
        <v>37.260000000000218</v>
      </c>
      <c r="E55" s="89">
        <f t="shared" si="3"/>
        <v>1.0333673633872442</v>
      </c>
    </row>
    <row r="56" spans="1:11" x14ac:dyDescent="0.25">
      <c r="A56" s="108" t="s">
        <v>81</v>
      </c>
      <c r="B56" s="2"/>
      <c r="C56" s="2"/>
      <c r="D56" s="5">
        <f t="shared" si="2"/>
        <v>0</v>
      </c>
      <c r="E56" s="88" t="str">
        <f t="shared" si="3"/>
        <v/>
      </c>
    </row>
    <row r="57" spans="1:11" x14ac:dyDescent="0.25">
      <c r="A57" s="108" t="s">
        <v>191</v>
      </c>
      <c r="B57" s="5">
        <f>437.5</f>
        <v>437.5</v>
      </c>
      <c r="C57" s="5">
        <f>41.66</f>
        <v>41.66</v>
      </c>
      <c r="D57" s="5">
        <f t="shared" si="2"/>
        <v>395.84000000000003</v>
      </c>
      <c r="E57" s="88">
        <f t="shared" si="3"/>
        <v>10.501680268843016</v>
      </c>
    </row>
    <row r="58" spans="1:11" x14ac:dyDescent="0.25">
      <c r="A58" s="108" t="s">
        <v>80</v>
      </c>
      <c r="B58" s="5">
        <f>893.75</f>
        <v>893.75</v>
      </c>
      <c r="C58" s="5">
        <f>83.34</f>
        <v>83.34</v>
      </c>
      <c r="D58" s="5">
        <f t="shared" si="2"/>
        <v>810.41</v>
      </c>
      <c r="E58" s="88">
        <f t="shared" si="3"/>
        <v>10.724142068634508</v>
      </c>
    </row>
    <row r="59" spans="1:11" x14ac:dyDescent="0.25">
      <c r="A59" s="108" t="s">
        <v>79</v>
      </c>
      <c r="B59" s="2"/>
      <c r="C59" s="5">
        <f>33.34</f>
        <v>33.340000000000003</v>
      </c>
      <c r="D59" s="5">
        <f t="shared" si="2"/>
        <v>-33.340000000000003</v>
      </c>
      <c r="E59" s="88">
        <f t="shared" si="3"/>
        <v>0</v>
      </c>
    </row>
    <row r="60" spans="1:11" x14ac:dyDescent="0.25">
      <c r="A60" s="108" t="s">
        <v>78</v>
      </c>
      <c r="B60" s="2"/>
      <c r="C60" s="5">
        <f>25</f>
        <v>25</v>
      </c>
      <c r="D60" s="5">
        <f t="shared" si="2"/>
        <v>-25</v>
      </c>
      <c r="E60" s="88">
        <f t="shared" si="3"/>
        <v>0</v>
      </c>
    </row>
    <row r="61" spans="1:11" x14ac:dyDescent="0.25">
      <c r="A61" s="108" t="s">
        <v>77</v>
      </c>
      <c r="B61" s="93">
        <f>((((B56)+(B57))+(B58))+(B59))+(B60)</f>
        <v>1331.25</v>
      </c>
      <c r="C61" s="93">
        <f>((((C56)+(C57))+(C58))+(C59))+(C60)</f>
        <v>183.34</v>
      </c>
      <c r="D61" s="93">
        <f t="shared" si="2"/>
        <v>1147.9100000000001</v>
      </c>
      <c r="E61" s="89">
        <f t="shared" si="3"/>
        <v>7.2610995963783136</v>
      </c>
      <c r="H61" s="76">
        <f>+D61</f>
        <v>1147.9100000000001</v>
      </c>
      <c r="I61" t="s">
        <v>204</v>
      </c>
      <c r="K61" s="77"/>
    </row>
    <row r="62" spans="1:11" x14ac:dyDescent="0.25">
      <c r="A62" s="108" t="s">
        <v>192</v>
      </c>
      <c r="B62" s="5">
        <f>9100</f>
        <v>9100</v>
      </c>
      <c r="C62" s="2"/>
      <c r="D62" s="5">
        <f t="shared" si="2"/>
        <v>9100</v>
      </c>
      <c r="E62" s="88" t="str">
        <f t="shared" si="3"/>
        <v/>
      </c>
      <c r="H62" s="78">
        <f>+D62</f>
        <v>9100</v>
      </c>
      <c r="K62" s="75"/>
    </row>
    <row r="63" spans="1:11" x14ac:dyDescent="0.25">
      <c r="A63" s="108" t="s">
        <v>76</v>
      </c>
      <c r="B63" s="4">
        <f>((((((((((((((((B22)+(B23))+(B24))+(B25))+(B26))+(B27))+(B28))+(B29))+(B30))+(B31))+(B32))+(B38))+(B43))+(B47))+(B55))+(B61))+(B62)</f>
        <v>44880.19</v>
      </c>
      <c r="C63" s="4">
        <f>((((((((((((((((C22)+(C23))+(C24))+(C25))+(C26))+(C27))+(C28))+(C29))+(C30))+(C31))+(C32))+(C38))+(C43))+(C47))+(C55))+(C61))+(C62)</f>
        <v>43716.66</v>
      </c>
      <c r="D63" s="4">
        <f t="shared" si="2"/>
        <v>1163.5299999999988</v>
      </c>
      <c r="E63" s="89">
        <f t="shared" si="3"/>
        <v>1.0266152537728179</v>
      </c>
    </row>
    <row r="64" spans="1:11" x14ac:dyDescent="0.25">
      <c r="A64" s="108" t="s">
        <v>75</v>
      </c>
      <c r="B64" s="93">
        <f>(B20)-(B63)</f>
        <v>10062.859999999993</v>
      </c>
      <c r="C64" s="93">
        <f>(C20)-(C63)</f>
        <v>11554.179999999993</v>
      </c>
      <c r="D64" s="93">
        <f t="shared" si="2"/>
        <v>-1491.3199999999997</v>
      </c>
      <c r="E64" s="89">
        <f t="shared" si="3"/>
        <v>0.87092809701770268</v>
      </c>
      <c r="H64" s="80">
        <f>SUM(H24:H62)</f>
        <v>1163.5300000000043</v>
      </c>
      <c r="I64" s="77"/>
    </row>
    <row r="65" spans="1:8" x14ac:dyDescent="0.25">
      <c r="A65" s="108" t="s">
        <v>74</v>
      </c>
      <c r="B65" s="2"/>
      <c r="C65" s="2"/>
      <c r="D65" s="2"/>
      <c r="E65" s="2"/>
      <c r="G65" s="86" t="s">
        <v>206</v>
      </c>
      <c r="H65" s="76">
        <f>+H20</f>
        <v>-327.79000000000087</v>
      </c>
    </row>
    <row r="66" spans="1:8" x14ac:dyDescent="0.25">
      <c r="A66" s="108" t="s">
        <v>73</v>
      </c>
      <c r="B66" s="5">
        <f>70215.22</f>
        <v>70215.22</v>
      </c>
      <c r="C66" s="2"/>
      <c r="D66" s="5">
        <f t="shared" ref="D66:D73" si="4">(B66)-(C66)</f>
        <v>70215.22</v>
      </c>
      <c r="E66" s="88" t="str">
        <f t="shared" ref="E66:E73" si="5">IF(C66=0,"",(B66)/(C66))</f>
        <v/>
      </c>
      <c r="F66" s="77"/>
      <c r="G66" s="86" t="s">
        <v>214</v>
      </c>
      <c r="H66" s="77">
        <f>+H64</f>
        <v>1163.5300000000043</v>
      </c>
    </row>
    <row r="67" spans="1:8" ht="15.75" thickBot="1" x14ac:dyDescent="0.3">
      <c r="A67" s="108" t="s">
        <v>72</v>
      </c>
      <c r="B67" s="2"/>
      <c r="C67" s="2"/>
      <c r="D67" s="5">
        <f t="shared" si="4"/>
        <v>0</v>
      </c>
      <c r="E67" s="88" t="str">
        <f t="shared" si="5"/>
        <v/>
      </c>
      <c r="H67" s="85">
        <f>+H65-H66</f>
        <v>-1491.3200000000052</v>
      </c>
    </row>
    <row r="68" spans="1:8" ht="15.75" thickTop="1" x14ac:dyDescent="0.25">
      <c r="A68" s="108" t="s">
        <v>71</v>
      </c>
      <c r="B68" s="5">
        <f>13937.8</f>
        <v>13937.8</v>
      </c>
      <c r="C68" s="2"/>
      <c r="D68" s="5">
        <f t="shared" si="4"/>
        <v>13937.8</v>
      </c>
      <c r="E68" s="88" t="str">
        <f t="shared" si="5"/>
        <v/>
      </c>
      <c r="H68" s="77"/>
    </row>
    <row r="69" spans="1:8" x14ac:dyDescent="0.25">
      <c r="A69" s="3" t="s">
        <v>181</v>
      </c>
      <c r="B69" s="5">
        <f>0</f>
        <v>0</v>
      </c>
      <c r="C69" s="2"/>
      <c r="D69" s="5">
        <f t="shared" si="4"/>
        <v>0</v>
      </c>
      <c r="E69" s="88" t="str">
        <f t="shared" si="5"/>
        <v/>
      </c>
    </row>
    <row r="70" spans="1:8" x14ac:dyDescent="0.25">
      <c r="A70" s="3" t="s">
        <v>70</v>
      </c>
      <c r="B70" s="5">
        <f>29285.12</f>
        <v>29285.119999999999</v>
      </c>
      <c r="C70" s="2"/>
      <c r="D70" s="5">
        <f t="shared" si="4"/>
        <v>29285.119999999999</v>
      </c>
      <c r="E70" s="88" t="str">
        <f t="shared" si="5"/>
        <v/>
      </c>
    </row>
    <row r="71" spans="1:8" x14ac:dyDescent="0.25">
      <c r="A71" s="3" t="s">
        <v>69</v>
      </c>
      <c r="B71" s="5">
        <f>-25426.12</f>
        <v>-25426.12</v>
      </c>
      <c r="C71" s="2"/>
      <c r="D71" s="5">
        <f t="shared" si="4"/>
        <v>-25426.12</v>
      </c>
      <c r="E71" s="88" t="str">
        <f t="shared" si="5"/>
        <v/>
      </c>
    </row>
    <row r="72" spans="1:8" x14ac:dyDescent="0.25">
      <c r="A72" s="3" t="s">
        <v>68</v>
      </c>
      <c r="B72" s="4">
        <f>((((B67)+(B68))+(B69))+(B70))+(B71)</f>
        <v>17796.8</v>
      </c>
      <c r="C72" s="4">
        <f>((((C67)+(C68))+(C69))+(C70))+(C71)</f>
        <v>0</v>
      </c>
      <c r="D72" s="4">
        <f t="shared" si="4"/>
        <v>17796.8</v>
      </c>
      <c r="E72" s="89" t="str">
        <f t="shared" si="5"/>
        <v/>
      </c>
    </row>
    <row r="73" spans="1:8" x14ac:dyDescent="0.25">
      <c r="A73" s="3" t="s">
        <v>67</v>
      </c>
      <c r="B73" s="4">
        <f>(B66)+(B72)</f>
        <v>88012.02</v>
      </c>
      <c r="C73" s="4">
        <f>(C66)+(C72)</f>
        <v>0</v>
      </c>
      <c r="D73" s="4">
        <f t="shared" si="4"/>
        <v>88012.02</v>
      </c>
      <c r="E73" s="89" t="str">
        <f t="shared" si="5"/>
        <v/>
      </c>
      <c r="H73" s="77"/>
    </row>
    <row r="74" spans="1:8" x14ac:dyDescent="0.25">
      <c r="A74" s="3" t="s">
        <v>66</v>
      </c>
      <c r="B74" s="2"/>
      <c r="C74" s="2"/>
      <c r="D74" s="2"/>
      <c r="E74" s="2"/>
    </row>
    <row r="75" spans="1:8" x14ac:dyDescent="0.25">
      <c r="A75" s="3" t="s">
        <v>65</v>
      </c>
      <c r="B75" s="5">
        <f>364426.57</f>
        <v>364426.57</v>
      </c>
      <c r="C75" s="2"/>
      <c r="D75" s="5">
        <f>(B75)-(C75)</f>
        <v>364426.57</v>
      </c>
      <c r="E75" s="88" t="str">
        <f>IF(C75=0,"",(B75)/(C75))</f>
        <v/>
      </c>
    </row>
    <row r="76" spans="1:8" x14ac:dyDescent="0.25">
      <c r="A76" s="3" t="s">
        <v>64</v>
      </c>
      <c r="B76" s="4">
        <f>B75</f>
        <v>364426.57</v>
      </c>
      <c r="C76" s="4">
        <f>C75</f>
        <v>0</v>
      </c>
      <c r="D76" s="4">
        <f>(B76)-(C76)</f>
        <v>364426.57</v>
      </c>
      <c r="E76" s="89" t="str">
        <f>IF(C76=0,"",(B76)/(C76))</f>
        <v/>
      </c>
    </row>
    <row r="77" spans="1:8" x14ac:dyDescent="0.25">
      <c r="A77" s="3" t="s">
        <v>63</v>
      </c>
      <c r="B77" s="4">
        <f>(B73)-(B76)</f>
        <v>-276414.55</v>
      </c>
      <c r="C77" s="4">
        <f>(C73)-(C76)</f>
        <v>0</v>
      </c>
      <c r="D77" s="4">
        <f>(B77)-(C77)</f>
        <v>-276414.55</v>
      </c>
      <c r="E77" s="89" t="str">
        <f>IF(C77=0,"",(B77)/(C77))</f>
        <v/>
      </c>
    </row>
    <row r="78" spans="1:8" x14ac:dyDescent="0.25">
      <c r="A78" s="3" t="s">
        <v>62</v>
      </c>
      <c r="B78" s="4">
        <f>(B64)+(B77)</f>
        <v>-266351.69</v>
      </c>
      <c r="C78" s="4">
        <f>(C64)+(C77)</f>
        <v>11554.179999999993</v>
      </c>
      <c r="D78" s="4">
        <f>(B78)-(C78)</f>
        <v>-277905.87</v>
      </c>
      <c r="E78" s="89">
        <f>IF(C78=0,"",(B78)/(C78))</f>
        <v>-23.052409604143275</v>
      </c>
    </row>
    <row r="79" spans="1:8" x14ac:dyDescent="0.25">
      <c r="A79" s="3"/>
      <c r="B79" s="2"/>
      <c r="C79" s="2"/>
      <c r="D79" s="2"/>
      <c r="E79" s="2"/>
    </row>
    <row r="80" spans="1:8" x14ac:dyDescent="0.25">
      <c r="A80" s="104" t="s">
        <v>61</v>
      </c>
      <c r="B80" s="104"/>
      <c r="C80" s="104"/>
      <c r="D80" s="104"/>
      <c r="E80" s="104"/>
    </row>
    <row r="82" spans="1:5" x14ac:dyDescent="0.25">
      <c r="A82" s="98" t="s">
        <v>227</v>
      </c>
      <c r="B82" s="99"/>
      <c r="C82" s="99"/>
      <c r="D82" s="99"/>
      <c r="E82" s="99"/>
    </row>
    <row r="83" spans="1:5" x14ac:dyDescent="0.25">
      <c r="A83" s="104" t="s">
        <v>61</v>
      </c>
      <c r="B83" s="104"/>
      <c r="C83" s="104"/>
      <c r="D83" s="104"/>
      <c r="E83" s="104"/>
    </row>
    <row r="85" spans="1:5" x14ac:dyDescent="0.25">
      <c r="A85" s="98" t="s">
        <v>213</v>
      </c>
      <c r="B85" s="99"/>
      <c r="C85" s="99"/>
      <c r="D85" s="99"/>
      <c r="E85" s="99"/>
    </row>
    <row r="87" spans="1:5" x14ac:dyDescent="0.25">
      <c r="C87" s="81"/>
      <c r="D87" s="81"/>
    </row>
  </sheetData>
  <mergeCells count="8">
    <mergeCell ref="A85:E85"/>
    <mergeCell ref="A1:E1"/>
    <mergeCell ref="A2:E2"/>
    <mergeCell ref="A3:E3"/>
    <mergeCell ref="B8:E8"/>
    <mergeCell ref="A83:E83"/>
    <mergeCell ref="A80:E80"/>
    <mergeCell ref="A82:E82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E77-C7D4-40DE-BDDA-4DDEF6DF365C}">
  <dimension ref="A1:L65"/>
  <sheetViews>
    <sheetView workbookViewId="0">
      <selection activeCell="N48" sqref="N48"/>
    </sheetView>
  </sheetViews>
  <sheetFormatPr defaultRowHeight="15" x14ac:dyDescent="0.25"/>
  <cols>
    <col min="1" max="1" width="23.7109375" customWidth="1"/>
    <col min="2" max="2" width="11.85546875" hidden="1" customWidth="1"/>
    <col min="3" max="3" width="12.28515625" customWidth="1"/>
    <col min="4" max="8" width="9.140625" hidden="1" customWidth="1"/>
    <col min="9" max="9" width="0" hidden="1" customWidth="1"/>
    <col min="10" max="10" width="10.42578125" hidden="1" customWidth="1"/>
    <col min="11" max="11" width="9.5703125" bestFit="1" customWidth="1"/>
    <col min="12" max="12" width="11" bestFit="1" customWidth="1"/>
  </cols>
  <sheetData>
    <row r="1" spans="1:12" ht="18" x14ac:dyDescent="0.25">
      <c r="A1" s="100" t="s">
        <v>59</v>
      </c>
      <c r="B1" s="99"/>
      <c r="C1" s="99"/>
      <c r="D1" s="99"/>
      <c r="E1" s="99"/>
      <c r="F1" s="99"/>
      <c r="G1" s="99"/>
      <c r="H1" s="99"/>
      <c r="I1" s="99"/>
      <c r="J1" s="99"/>
    </row>
    <row r="2" spans="1:12" ht="18" x14ac:dyDescent="0.25">
      <c r="A2" s="100" t="s">
        <v>226</v>
      </c>
      <c r="B2" s="99"/>
      <c r="C2" s="99"/>
      <c r="D2" s="99"/>
      <c r="E2" s="99"/>
      <c r="F2" s="99"/>
      <c r="G2" s="99"/>
      <c r="H2" s="99"/>
      <c r="I2" s="99"/>
      <c r="J2" s="99"/>
    </row>
    <row r="3" spans="1:12" x14ac:dyDescent="0.25">
      <c r="A3" s="101" t="s">
        <v>228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5" spans="1:12" ht="48.75" customHeight="1" x14ac:dyDescent="0.25">
      <c r="A5" s="1"/>
      <c r="B5" s="84" t="s">
        <v>229</v>
      </c>
      <c r="C5" s="84" t="s">
        <v>193</v>
      </c>
      <c r="D5" s="84" t="s">
        <v>194</v>
      </c>
      <c r="E5" s="84" t="s">
        <v>195</v>
      </c>
      <c r="F5" s="84" t="s">
        <v>196</v>
      </c>
      <c r="G5" s="84" t="s">
        <v>197</v>
      </c>
      <c r="H5" s="84" t="s">
        <v>198</v>
      </c>
      <c r="I5" s="84" t="s">
        <v>199</v>
      </c>
      <c r="J5" s="84" t="s">
        <v>200</v>
      </c>
      <c r="K5" s="84" t="s">
        <v>210</v>
      </c>
      <c r="L5" s="84" t="s">
        <v>126</v>
      </c>
    </row>
    <row r="6" spans="1:12" x14ac:dyDescent="0.25">
      <c r="A6" s="3" t="s">
        <v>121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5" customHeight="1" x14ac:dyDescent="0.25">
      <c r="A7" s="3" t="s">
        <v>120</v>
      </c>
      <c r="B7" s="2"/>
      <c r="C7" s="2"/>
      <c r="D7" s="2"/>
      <c r="E7" s="2"/>
      <c r="F7" s="2"/>
      <c r="G7" s="2"/>
      <c r="H7" s="2"/>
      <c r="I7" s="2"/>
      <c r="J7" s="2"/>
      <c r="K7" s="5">
        <f t="shared" ref="K7:K16" si="0">(((G7)+(H7))+(I7))+(J7)</f>
        <v>0</v>
      </c>
      <c r="L7" s="5">
        <f t="shared" ref="L7:L16" si="1">(((((B7)+(C7))+(D7))+(E7))+(F7))+(K7)</f>
        <v>0</v>
      </c>
    </row>
    <row r="8" spans="1:12" ht="15" customHeight="1" x14ac:dyDescent="0.25">
      <c r="A8" s="3" t="s">
        <v>119</v>
      </c>
      <c r="B8" s="2"/>
      <c r="C8" s="2"/>
      <c r="D8" s="2"/>
      <c r="E8" s="2"/>
      <c r="F8" s="2"/>
      <c r="G8" s="5">
        <f>9896.91</f>
        <v>9896.91</v>
      </c>
      <c r="H8" s="2"/>
      <c r="I8" s="2"/>
      <c r="J8" s="2"/>
      <c r="K8" s="5">
        <f t="shared" si="0"/>
        <v>9896.91</v>
      </c>
      <c r="L8" s="5">
        <f t="shared" si="1"/>
        <v>9896.91</v>
      </c>
    </row>
    <row r="9" spans="1:12" ht="15" customHeight="1" x14ac:dyDescent="0.25">
      <c r="A9" s="3" t="s">
        <v>118</v>
      </c>
      <c r="B9" s="2"/>
      <c r="C9" s="2"/>
      <c r="D9" s="2"/>
      <c r="E9" s="2"/>
      <c r="F9" s="2"/>
      <c r="G9" s="2"/>
      <c r="H9" s="2"/>
      <c r="I9" s="2"/>
      <c r="J9" s="2"/>
      <c r="K9" s="5">
        <f t="shared" si="0"/>
        <v>0</v>
      </c>
      <c r="L9" s="5">
        <f t="shared" si="1"/>
        <v>0</v>
      </c>
    </row>
    <row r="10" spans="1:12" ht="15" customHeight="1" x14ac:dyDescent="0.25">
      <c r="A10" s="3" t="s">
        <v>117</v>
      </c>
      <c r="B10" s="2"/>
      <c r="C10" s="2"/>
      <c r="D10" s="2"/>
      <c r="E10" s="2"/>
      <c r="F10" s="2"/>
      <c r="G10" s="5">
        <f>36576.07</f>
        <v>36576.07</v>
      </c>
      <c r="H10" s="2"/>
      <c r="I10" s="2"/>
      <c r="J10" s="2"/>
      <c r="K10" s="5">
        <f t="shared" si="0"/>
        <v>36576.07</v>
      </c>
      <c r="L10" s="5">
        <f t="shared" si="1"/>
        <v>36576.07</v>
      </c>
    </row>
    <row r="11" spans="1:12" ht="15" customHeight="1" x14ac:dyDescent="0.25">
      <c r="A11" s="3" t="s">
        <v>188</v>
      </c>
      <c r="B11" s="4">
        <f t="shared" ref="B11:J11" si="2">(B9)+(B10)</f>
        <v>0</v>
      </c>
      <c r="C11" s="4">
        <f t="shared" si="2"/>
        <v>0</v>
      </c>
      <c r="D11" s="4">
        <f t="shared" si="2"/>
        <v>0</v>
      </c>
      <c r="E11" s="4">
        <f t="shared" si="2"/>
        <v>0</v>
      </c>
      <c r="F11" s="4">
        <f t="shared" si="2"/>
        <v>0</v>
      </c>
      <c r="G11" s="4">
        <f t="shared" si="2"/>
        <v>36576.07</v>
      </c>
      <c r="H11" s="4">
        <f t="shared" si="2"/>
        <v>0</v>
      </c>
      <c r="I11" s="4">
        <f t="shared" si="2"/>
        <v>0</v>
      </c>
      <c r="J11" s="4">
        <f t="shared" si="2"/>
        <v>0</v>
      </c>
      <c r="K11" s="4">
        <f t="shared" si="0"/>
        <v>36576.07</v>
      </c>
      <c r="L11" s="4">
        <f t="shared" si="1"/>
        <v>36576.07</v>
      </c>
    </row>
    <row r="12" spans="1:12" ht="15" customHeight="1" x14ac:dyDescent="0.25">
      <c r="A12" s="3" t="s">
        <v>189</v>
      </c>
      <c r="B12" s="2"/>
      <c r="C12" s="5">
        <f>8333.34</f>
        <v>8333.34</v>
      </c>
      <c r="D12" s="2"/>
      <c r="E12" s="2"/>
      <c r="F12" s="2"/>
      <c r="G12" s="2"/>
      <c r="H12" s="2"/>
      <c r="I12" s="2"/>
      <c r="J12" s="2"/>
      <c r="K12" s="5">
        <f t="shared" si="0"/>
        <v>0</v>
      </c>
      <c r="L12" s="5">
        <f t="shared" si="1"/>
        <v>8333.34</v>
      </c>
    </row>
    <row r="13" spans="1:12" ht="15" customHeight="1" x14ac:dyDescent="0.25">
      <c r="A13" s="3" t="s">
        <v>116</v>
      </c>
      <c r="B13" s="4">
        <f t="shared" ref="B13:J13" si="3">(((B7)+(B8))+(B11))+(B12)</f>
        <v>0</v>
      </c>
      <c r="C13" s="4">
        <f t="shared" si="3"/>
        <v>8333.34</v>
      </c>
      <c r="D13" s="4">
        <f t="shared" si="3"/>
        <v>0</v>
      </c>
      <c r="E13" s="4">
        <f t="shared" si="3"/>
        <v>0</v>
      </c>
      <c r="F13" s="4">
        <f t="shared" si="3"/>
        <v>0</v>
      </c>
      <c r="G13" s="4">
        <f t="shared" si="3"/>
        <v>46472.979999999996</v>
      </c>
      <c r="H13" s="4">
        <f t="shared" si="3"/>
        <v>0</v>
      </c>
      <c r="I13" s="4">
        <f t="shared" si="3"/>
        <v>0</v>
      </c>
      <c r="J13" s="4">
        <f t="shared" si="3"/>
        <v>0</v>
      </c>
      <c r="K13" s="4">
        <f t="shared" si="0"/>
        <v>46472.979999999996</v>
      </c>
      <c r="L13" s="4">
        <f t="shared" si="1"/>
        <v>54806.319999999992</v>
      </c>
    </row>
    <row r="14" spans="1:12" ht="15" customHeight="1" x14ac:dyDescent="0.25">
      <c r="A14" s="3" t="s">
        <v>115</v>
      </c>
      <c r="B14" s="2"/>
      <c r="C14" s="2"/>
      <c r="D14" s="2"/>
      <c r="E14" s="2"/>
      <c r="F14" s="2"/>
      <c r="G14" s="5">
        <f>136.73</f>
        <v>136.72999999999999</v>
      </c>
      <c r="H14" s="2"/>
      <c r="I14" s="2"/>
      <c r="J14" s="2"/>
      <c r="K14" s="5">
        <f t="shared" si="0"/>
        <v>136.72999999999999</v>
      </c>
      <c r="L14" s="5">
        <f t="shared" si="1"/>
        <v>136.72999999999999</v>
      </c>
    </row>
    <row r="15" spans="1:12" ht="15" customHeight="1" x14ac:dyDescent="0.25">
      <c r="A15" s="3" t="s">
        <v>114</v>
      </c>
      <c r="B15" s="4">
        <f t="shared" ref="B15:J15" si="4">(B13)+(B14)</f>
        <v>0</v>
      </c>
      <c r="C15" s="4">
        <f t="shared" si="4"/>
        <v>8333.34</v>
      </c>
      <c r="D15" s="4">
        <f t="shared" si="4"/>
        <v>0</v>
      </c>
      <c r="E15" s="4">
        <f t="shared" si="4"/>
        <v>0</v>
      </c>
      <c r="F15" s="4">
        <f t="shared" si="4"/>
        <v>0</v>
      </c>
      <c r="G15" s="4">
        <f t="shared" si="4"/>
        <v>46609.71</v>
      </c>
      <c r="H15" s="4">
        <f t="shared" si="4"/>
        <v>0</v>
      </c>
      <c r="I15" s="4">
        <f t="shared" si="4"/>
        <v>0</v>
      </c>
      <c r="J15" s="4">
        <f t="shared" si="4"/>
        <v>0</v>
      </c>
      <c r="K15" s="4">
        <f t="shared" si="0"/>
        <v>46609.71</v>
      </c>
      <c r="L15" s="4">
        <f t="shared" si="1"/>
        <v>54943.05</v>
      </c>
    </row>
    <row r="16" spans="1:12" ht="15" customHeight="1" x14ac:dyDescent="0.25">
      <c r="A16" s="3" t="s">
        <v>113</v>
      </c>
      <c r="B16" s="4">
        <f t="shared" ref="B16:J16" si="5">(B15)-(0)</f>
        <v>0</v>
      </c>
      <c r="C16" s="4">
        <f t="shared" si="5"/>
        <v>8333.34</v>
      </c>
      <c r="D16" s="4">
        <f t="shared" si="5"/>
        <v>0</v>
      </c>
      <c r="E16" s="4">
        <f t="shared" si="5"/>
        <v>0</v>
      </c>
      <c r="F16" s="4">
        <f t="shared" si="5"/>
        <v>0</v>
      </c>
      <c r="G16" s="4">
        <f t="shared" si="5"/>
        <v>46609.71</v>
      </c>
      <c r="H16" s="4">
        <f t="shared" si="5"/>
        <v>0</v>
      </c>
      <c r="I16" s="4">
        <f t="shared" si="5"/>
        <v>0</v>
      </c>
      <c r="J16" s="4">
        <f t="shared" si="5"/>
        <v>0</v>
      </c>
      <c r="K16" s="4">
        <f t="shared" si="0"/>
        <v>46609.71</v>
      </c>
      <c r="L16" s="4">
        <f t="shared" si="1"/>
        <v>54943.05</v>
      </c>
    </row>
    <row r="17" spans="1:12" ht="15" customHeight="1" x14ac:dyDescent="0.25">
      <c r="A17" s="3" t="s">
        <v>112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" customHeight="1" x14ac:dyDescent="0.25">
      <c r="A18" s="3" t="s">
        <v>183</v>
      </c>
      <c r="B18" s="2"/>
      <c r="C18" s="5">
        <f>425</f>
        <v>425</v>
      </c>
      <c r="D18" s="2"/>
      <c r="E18" s="2"/>
      <c r="F18" s="2"/>
      <c r="G18" s="2"/>
      <c r="H18" s="2"/>
      <c r="I18" s="2"/>
      <c r="J18" s="2"/>
      <c r="K18" s="5">
        <f t="shared" ref="K18:K47" si="6">(((G18)+(H18))+(I18))+(J18)</f>
        <v>0</v>
      </c>
      <c r="L18" s="5">
        <f t="shared" ref="L18:L47" si="7">(((((B18)+(C18))+(D18))+(E18))+(F18))+(K18)</f>
        <v>425</v>
      </c>
    </row>
    <row r="19" spans="1:12" ht="15" customHeight="1" x14ac:dyDescent="0.25">
      <c r="A19" s="3" t="s">
        <v>111</v>
      </c>
      <c r="B19" s="2"/>
      <c r="C19" s="2"/>
      <c r="D19" s="2"/>
      <c r="E19" s="2"/>
      <c r="F19" s="5">
        <f>7.25</f>
        <v>7.25</v>
      </c>
      <c r="G19" s="2"/>
      <c r="H19" s="5">
        <f>79.97</f>
        <v>79.97</v>
      </c>
      <c r="I19" s="5">
        <f>382.94</f>
        <v>382.94</v>
      </c>
      <c r="J19" s="2"/>
      <c r="K19" s="5">
        <f t="shared" si="6"/>
        <v>462.90999999999997</v>
      </c>
      <c r="L19" s="5">
        <f t="shared" si="7"/>
        <v>470.15999999999997</v>
      </c>
    </row>
    <row r="20" spans="1:12" ht="15" customHeight="1" x14ac:dyDescent="0.25">
      <c r="A20" s="3" t="s">
        <v>108</v>
      </c>
      <c r="B20" s="2"/>
      <c r="C20" s="5">
        <f>313.93</f>
        <v>313.93</v>
      </c>
      <c r="D20" s="2"/>
      <c r="E20" s="2"/>
      <c r="F20" s="2"/>
      <c r="G20" s="2"/>
      <c r="H20" s="2"/>
      <c r="I20" s="2"/>
      <c r="J20" s="2"/>
      <c r="K20" s="5">
        <f t="shared" si="6"/>
        <v>0</v>
      </c>
      <c r="L20" s="5">
        <f t="shared" si="7"/>
        <v>313.93</v>
      </c>
    </row>
    <row r="21" spans="1:12" ht="15" customHeight="1" x14ac:dyDescent="0.25">
      <c r="A21" s="3" t="s">
        <v>212</v>
      </c>
      <c r="B21" s="2"/>
      <c r="C21" s="5">
        <f>600</f>
        <v>600</v>
      </c>
      <c r="D21" s="2"/>
      <c r="E21" s="2"/>
      <c r="F21" s="2"/>
      <c r="G21" s="2"/>
      <c r="H21" s="2"/>
      <c r="I21" s="2"/>
      <c r="J21" s="5">
        <f>3400</f>
        <v>3400</v>
      </c>
      <c r="K21" s="5">
        <f t="shared" si="6"/>
        <v>3400</v>
      </c>
      <c r="L21" s="5">
        <f t="shared" si="7"/>
        <v>4000</v>
      </c>
    </row>
    <row r="22" spans="1:12" ht="15" customHeight="1" x14ac:dyDescent="0.25">
      <c r="A22" s="3" t="s">
        <v>104</v>
      </c>
      <c r="B22" s="2"/>
      <c r="C22" s="2"/>
      <c r="D22" s="2"/>
      <c r="E22" s="2"/>
      <c r="F22" s="2"/>
      <c r="G22" s="2"/>
      <c r="H22" s="2"/>
      <c r="I22" s="2"/>
      <c r="J22" s="2"/>
      <c r="K22" s="5">
        <f t="shared" si="6"/>
        <v>0</v>
      </c>
      <c r="L22" s="5">
        <f t="shared" si="7"/>
        <v>0</v>
      </c>
    </row>
    <row r="23" spans="1:12" ht="15" customHeight="1" x14ac:dyDescent="0.25">
      <c r="A23" s="3" t="s">
        <v>103</v>
      </c>
      <c r="B23" s="2"/>
      <c r="C23" s="5">
        <f>1439.38</f>
        <v>1439.38</v>
      </c>
      <c r="D23" s="2"/>
      <c r="E23" s="2"/>
      <c r="F23" s="2"/>
      <c r="G23" s="2"/>
      <c r="H23" s="2"/>
      <c r="I23" s="2"/>
      <c r="J23" s="2"/>
      <c r="K23" s="5">
        <f t="shared" si="6"/>
        <v>0</v>
      </c>
      <c r="L23" s="5">
        <f t="shared" si="7"/>
        <v>1439.38</v>
      </c>
    </row>
    <row r="24" spans="1:12" ht="15" customHeight="1" x14ac:dyDescent="0.25">
      <c r="A24" s="3" t="s">
        <v>102</v>
      </c>
      <c r="B24" s="2"/>
      <c r="C24" s="5">
        <f>10624.25</f>
        <v>10624.25</v>
      </c>
      <c r="D24" s="2"/>
      <c r="E24" s="2"/>
      <c r="F24" s="2"/>
      <c r="G24" s="2"/>
      <c r="H24" s="2"/>
      <c r="I24" s="5">
        <f>8198.95</f>
        <v>8198.9500000000007</v>
      </c>
      <c r="J24" s="2"/>
      <c r="K24" s="5">
        <f t="shared" si="6"/>
        <v>8198.9500000000007</v>
      </c>
      <c r="L24" s="5">
        <f t="shared" si="7"/>
        <v>18823.2</v>
      </c>
    </row>
    <row r="25" spans="1:12" ht="15" customHeight="1" x14ac:dyDescent="0.25">
      <c r="A25" s="3" t="s">
        <v>100</v>
      </c>
      <c r="B25" s="2"/>
      <c r="C25" s="5">
        <f>999.07</f>
        <v>999.07</v>
      </c>
      <c r="D25" s="2"/>
      <c r="E25" s="2"/>
      <c r="F25" s="2"/>
      <c r="G25" s="2"/>
      <c r="H25" s="2"/>
      <c r="I25" s="5">
        <f>1212.26</f>
        <v>1212.26</v>
      </c>
      <c r="J25" s="2"/>
      <c r="K25" s="5">
        <f t="shared" si="6"/>
        <v>1212.26</v>
      </c>
      <c r="L25" s="5">
        <f t="shared" si="7"/>
        <v>2211.33</v>
      </c>
    </row>
    <row r="26" spans="1:12" ht="15" customHeight="1" x14ac:dyDescent="0.25">
      <c r="A26" s="3" t="s">
        <v>99</v>
      </c>
      <c r="B26" s="4">
        <f t="shared" ref="B26:J26" si="8">(((B22)+(B23))+(B24))+(B25)</f>
        <v>0</v>
      </c>
      <c r="C26" s="4">
        <f t="shared" si="8"/>
        <v>13062.7</v>
      </c>
      <c r="D26" s="4">
        <f t="shared" si="8"/>
        <v>0</v>
      </c>
      <c r="E26" s="4">
        <f t="shared" si="8"/>
        <v>0</v>
      </c>
      <c r="F26" s="4">
        <f t="shared" si="8"/>
        <v>0</v>
      </c>
      <c r="G26" s="4">
        <f t="shared" si="8"/>
        <v>0</v>
      </c>
      <c r="H26" s="4">
        <f t="shared" si="8"/>
        <v>0</v>
      </c>
      <c r="I26" s="4">
        <f t="shared" si="8"/>
        <v>9411.2100000000009</v>
      </c>
      <c r="J26" s="4">
        <f t="shared" si="8"/>
        <v>0</v>
      </c>
      <c r="K26" s="4">
        <f t="shared" si="6"/>
        <v>9411.2100000000009</v>
      </c>
      <c r="L26" s="4">
        <f t="shared" si="7"/>
        <v>22473.910000000003</v>
      </c>
    </row>
    <row r="27" spans="1:12" ht="15" customHeight="1" x14ac:dyDescent="0.25">
      <c r="A27" s="3" t="s">
        <v>98</v>
      </c>
      <c r="B27" s="2"/>
      <c r="C27" s="2"/>
      <c r="D27" s="2"/>
      <c r="E27" s="2"/>
      <c r="F27" s="2"/>
      <c r="G27" s="2"/>
      <c r="H27" s="2"/>
      <c r="I27" s="2"/>
      <c r="J27" s="2"/>
      <c r="K27" s="5">
        <f t="shared" si="6"/>
        <v>0</v>
      </c>
      <c r="L27" s="5">
        <f t="shared" si="7"/>
        <v>0</v>
      </c>
    </row>
    <row r="28" spans="1:12" ht="15" customHeight="1" x14ac:dyDescent="0.25">
      <c r="A28" s="3" t="s">
        <v>97</v>
      </c>
      <c r="B28" s="2"/>
      <c r="C28" s="5">
        <f>440</f>
        <v>440</v>
      </c>
      <c r="D28" s="2"/>
      <c r="E28" s="2"/>
      <c r="F28" s="2"/>
      <c r="G28" s="2"/>
      <c r="H28" s="2"/>
      <c r="I28" s="5">
        <f>3960</f>
        <v>3960</v>
      </c>
      <c r="J28" s="2"/>
      <c r="K28" s="5">
        <f t="shared" si="6"/>
        <v>3960</v>
      </c>
      <c r="L28" s="5">
        <f t="shared" si="7"/>
        <v>4400</v>
      </c>
    </row>
    <row r="29" spans="1:12" ht="15" customHeight="1" x14ac:dyDescent="0.25">
      <c r="A29" s="3" t="s">
        <v>94</v>
      </c>
      <c r="B29" s="4">
        <f t="shared" ref="B29:J29" si="9">(B27)+(B28)</f>
        <v>0</v>
      </c>
      <c r="C29" s="4">
        <f t="shared" si="9"/>
        <v>440</v>
      </c>
      <c r="D29" s="4">
        <f t="shared" si="9"/>
        <v>0</v>
      </c>
      <c r="E29" s="4">
        <f t="shared" si="9"/>
        <v>0</v>
      </c>
      <c r="F29" s="4">
        <f t="shared" si="9"/>
        <v>0</v>
      </c>
      <c r="G29" s="4">
        <f t="shared" si="9"/>
        <v>0</v>
      </c>
      <c r="H29" s="4">
        <f t="shared" si="9"/>
        <v>0</v>
      </c>
      <c r="I29" s="4">
        <f t="shared" si="9"/>
        <v>3960</v>
      </c>
      <c r="J29" s="4">
        <f t="shared" si="9"/>
        <v>0</v>
      </c>
      <c r="K29" s="4">
        <f t="shared" si="6"/>
        <v>3960</v>
      </c>
      <c r="L29" s="4">
        <f t="shared" si="7"/>
        <v>4400</v>
      </c>
    </row>
    <row r="30" spans="1:12" ht="15" customHeight="1" x14ac:dyDescent="0.25">
      <c r="A30" s="3" t="s">
        <v>93</v>
      </c>
      <c r="B30" s="2"/>
      <c r="C30" s="2"/>
      <c r="D30" s="2"/>
      <c r="E30" s="2"/>
      <c r="F30" s="2"/>
      <c r="G30" s="2"/>
      <c r="H30" s="2"/>
      <c r="I30" s="2"/>
      <c r="J30" s="2"/>
      <c r="K30" s="5">
        <f t="shared" si="6"/>
        <v>0</v>
      </c>
      <c r="L30" s="5">
        <f t="shared" si="7"/>
        <v>0</v>
      </c>
    </row>
    <row r="31" spans="1:12" ht="15" customHeight="1" x14ac:dyDescent="0.25">
      <c r="A31" s="3" t="s">
        <v>92</v>
      </c>
      <c r="B31" s="2"/>
      <c r="C31" s="2"/>
      <c r="D31" s="2"/>
      <c r="E31" s="2"/>
      <c r="F31" s="2"/>
      <c r="G31" s="2"/>
      <c r="H31" s="2"/>
      <c r="I31" s="2"/>
      <c r="J31" s="5">
        <f>0</f>
        <v>0</v>
      </c>
      <c r="K31" s="5">
        <f t="shared" si="6"/>
        <v>0</v>
      </c>
      <c r="L31" s="5">
        <f t="shared" si="7"/>
        <v>0</v>
      </c>
    </row>
    <row r="32" spans="1:12" ht="15" customHeight="1" x14ac:dyDescent="0.25">
      <c r="A32" s="3" t="s">
        <v>91</v>
      </c>
      <c r="B32" s="2"/>
      <c r="C32" s="5">
        <f>606.01</f>
        <v>606.01</v>
      </c>
      <c r="D32" s="2"/>
      <c r="E32" s="2"/>
      <c r="F32" s="2"/>
      <c r="G32" s="2"/>
      <c r="H32" s="2"/>
      <c r="I32" s="5">
        <f>606.01</f>
        <v>606.01</v>
      </c>
      <c r="J32" s="2"/>
      <c r="K32" s="5">
        <f t="shared" si="6"/>
        <v>606.01</v>
      </c>
      <c r="L32" s="5">
        <f t="shared" si="7"/>
        <v>1212.02</v>
      </c>
    </row>
    <row r="33" spans="1:12" ht="15" customHeight="1" x14ac:dyDescent="0.25">
      <c r="A33" s="3" t="s">
        <v>90</v>
      </c>
      <c r="B33" s="4">
        <f t="shared" ref="B33:J33" si="10">((B30)+(B31))+(B32)</f>
        <v>0</v>
      </c>
      <c r="C33" s="4">
        <f t="shared" si="10"/>
        <v>606.01</v>
      </c>
      <c r="D33" s="4">
        <f t="shared" si="10"/>
        <v>0</v>
      </c>
      <c r="E33" s="4">
        <f t="shared" si="10"/>
        <v>0</v>
      </c>
      <c r="F33" s="4">
        <f t="shared" si="10"/>
        <v>0</v>
      </c>
      <c r="G33" s="4">
        <f t="shared" si="10"/>
        <v>0</v>
      </c>
      <c r="H33" s="4">
        <f t="shared" si="10"/>
        <v>0</v>
      </c>
      <c r="I33" s="4">
        <f t="shared" si="10"/>
        <v>606.01</v>
      </c>
      <c r="J33" s="4">
        <f t="shared" si="10"/>
        <v>0</v>
      </c>
      <c r="K33" s="4">
        <f t="shared" si="6"/>
        <v>606.01</v>
      </c>
      <c r="L33" s="4">
        <f t="shared" si="7"/>
        <v>1212.02</v>
      </c>
    </row>
    <row r="34" spans="1:12" ht="15" customHeight="1" x14ac:dyDescent="0.25">
      <c r="A34" s="3" t="s">
        <v>89</v>
      </c>
      <c r="B34" s="2"/>
      <c r="C34" s="2"/>
      <c r="D34" s="2"/>
      <c r="E34" s="2"/>
      <c r="F34" s="2"/>
      <c r="G34" s="2"/>
      <c r="H34" s="2"/>
      <c r="I34" s="2"/>
      <c r="J34" s="2"/>
      <c r="K34" s="5">
        <f t="shared" si="6"/>
        <v>0</v>
      </c>
      <c r="L34" s="5">
        <f t="shared" si="7"/>
        <v>0</v>
      </c>
    </row>
    <row r="35" spans="1:12" ht="15" customHeight="1" x14ac:dyDescent="0.25">
      <c r="A35" s="3" t="s">
        <v>88</v>
      </c>
      <c r="B35" s="2"/>
      <c r="C35" s="2"/>
      <c r="D35" s="2"/>
      <c r="E35" s="2"/>
      <c r="F35" s="2"/>
      <c r="G35" s="2"/>
      <c r="H35" s="2"/>
      <c r="I35" s="5">
        <f>30.5</f>
        <v>30.5</v>
      </c>
      <c r="J35" s="2"/>
      <c r="K35" s="5">
        <f t="shared" si="6"/>
        <v>30.5</v>
      </c>
      <c r="L35" s="5">
        <f t="shared" si="7"/>
        <v>30.5</v>
      </c>
    </row>
    <row r="36" spans="1:12" ht="15" customHeight="1" x14ac:dyDescent="0.25">
      <c r="A36" s="3" t="s">
        <v>87</v>
      </c>
      <c r="B36" s="2"/>
      <c r="C36" s="5">
        <f>304.27</f>
        <v>304.27</v>
      </c>
      <c r="D36" s="2"/>
      <c r="E36" s="2"/>
      <c r="F36" s="2"/>
      <c r="G36" s="2"/>
      <c r="H36" s="2"/>
      <c r="I36" s="2"/>
      <c r="J36" s="2"/>
      <c r="K36" s="5">
        <f t="shared" si="6"/>
        <v>0</v>
      </c>
      <c r="L36" s="5">
        <f t="shared" si="7"/>
        <v>304.27</v>
      </c>
    </row>
    <row r="37" spans="1:12" ht="15" customHeight="1" x14ac:dyDescent="0.25">
      <c r="A37" s="3" t="s">
        <v>86</v>
      </c>
      <c r="B37" s="2"/>
      <c r="C37" s="5">
        <f>138.33</f>
        <v>138.33000000000001</v>
      </c>
      <c r="D37" s="2"/>
      <c r="E37" s="2"/>
      <c r="F37" s="2"/>
      <c r="G37" s="2"/>
      <c r="H37" s="2"/>
      <c r="I37" s="2"/>
      <c r="J37" s="2"/>
      <c r="K37" s="5">
        <f t="shared" si="6"/>
        <v>0</v>
      </c>
      <c r="L37" s="5">
        <f t="shared" si="7"/>
        <v>138.33000000000001</v>
      </c>
    </row>
    <row r="38" spans="1:12" ht="15" customHeight="1" x14ac:dyDescent="0.25">
      <c r="A38" s="3" t="s">
        <v>85</v>
      </c>
      <c r="B38" s="2"/>
      <c r="C38" s="2"/>
      <c r="D38" s="2"/>
      <c r="E38" s="2"/>
      <c r="F38" s="2"/>
      <c r="G38" s="2"/>
      <c r="H38" s="2"/>
      <c r="I38" s="5">
        <f>500</f>
        <v>500</v>
      </c>
      <c r="J38" s="2"/>
      <c r="K38" s="5">
        <f t="shared" si="6"/>
        <v>500</v>
      </c>
      <c r="L38" s="5">
        <f t="shared" si="7"/>
        <v>500</v>
      </c>
    </row>
    <row r="39" spans="1:12" ht="15" customHeight="1" x14ac:dyDescent="0.25">
      <c r="A39" s="3" t="s">
        <v>83</v>
      </c>
      <c r="B39" s="2"/>
      <c r="C39" s="5">
        <f>31.98</f>
        <v>31.98</v>
      </c>
      <c r="D39" s="2"/>
      <c r="E39" s="2"/>
      <c r="F39" s="2"/>
      <c r="G39" s="2"/>
      <c r="H39" s="2"/>
      <c r="I39" s="5">
        <f>148.84</f>
        <v>148.84</v>
      </c>
      <c r="J39" s="2"/>
      <c r="K39" s="5">
        <f t="shared" si="6"/>
        <v>148.84</v>
      </c>
      <c r="L39" s="5">
        <f t="shared" si="7"/>
        <v>180.82</v>
      </c>
    </row>
    <row r="40" spans="1:12" ht="15" customHeight="1" x14ac:dyDescent="0.25">
      <c r="A40" s="3" t="s">
        <v>82</v>
      </c>
      <c r="B40" s="4">
        <f t="shared" ref="B40:J40" si="11">(((((B34)+(B35))+(B36))+(B37))+(B38))+(B39)</f>
        <v>0</v>
      </c>
      <c r="C40" s="4">
        <f t="shared" si="11"/>
        <v>474.58000000000004</v>
      </c>
      <c r="D40" s="4">
        <f t="shared" si="11"/>
        <v>0</v>
      </c>
      <c r="E40" s="4">
        <f t="shared" si="11"/>
        <v>0</v>
      </c>
      <c r="F40" s="4">
        <f t="shared" si="11"/>
        <v>0</v>
      </c>
      <c r="G40" s="4">
        <f t="shared" si="11"/>
        <v>0</v>
      </c>
      <c r="H40" s="4">
        <f t="shared" si="11"/>
        <v>0</v>
      </c>
      <c r="I40" s="4">
        <f t="shared" si="11"/>
        <v>679.34</v>
      </c>
      <c r="J40" s="4">
        <f t="shared" si="11"/>
        <v>0</v>
      </c>
      <c r="K40" s="4">
        <f t="shared" si="6"/>
        <v>679.34</v>
      </c>
      <c r="L40" s="4">
        <f t="shared" si="7"/>
        <v>1153.92</v>
      </c>
    </row>
    <row r="41" spans="1:12" ht="15" customHeight="1" x14ac:dyDescent="0.25">
      <c r="A41" s="3" t="s">
        <v>81</v>
      </c>
      <c r="B41" s="2"/>
      <c r="C41" s="2"/>
      <c r="D41" s="2"/>
      <c r="E41" s="2"/>
      <c r="F41" s="2"/>
      <c r="G41" s="2"/>
      <c r="H41" s="2"/>
      <c r="I41" s="2"/>
      <c r="J41" s="2"/>
      <c r="K41" s="5">
        <f t="shared" si="6"/>
        <v>0</v>
      </c>
      <c r="L41" s="5">
        <f t="shared" si="7"/>
        <v>0</v>
      </c>
    </row>
    <row r="42" spans="1:12" ht="15" customHeight="1" x14ac:dyDescent="0.25">
      <c r="A42" s="3" t="s">
        <v>191</v>
      </c>
      <c r="B42" s="2"/>
      <c r="C42" s="5">
        <f>437.5</f>
        <v>437.5</v>
      </c>
      <c r="D42" s="2"/>
      <c r="E42" s="2"/>
      <c r="F42" s="2"/>
      <c r="G42" s="2"/>
      <c r="H42" s="2"/>
      <c r="I42" s="2"/>
      <c r="J42" s="2"/>
      <c r="K42" s="5">
        <f t="shared" si="6"/>
        <v>0</v>
      </c>
      <c r="L42" s="5">
        <f t="shared" si="7"/>
        <v>437.5</v>
      </c>
    </row>
    <row r="43" spans="1:12" ht="15" customHeight="1" x14ac:dyDescent="0.25">
      <c r="A43" s="3" t="s">
        <v>80</v>
      </c>
      <c r="B43" s="2"/>
      <c r="C43" s="5">
        <f>833.75</f>
        <v>833.75</v>
      </c>
      <c r="D43" s="2"/>
      <c r="E43" s="2"/>
      <c r="F43" s="2"/>
      <c r="G43" s="2"/>
      <c r="H43" s="2"/>
      <c r="I43" s="2"/>
      <c r="J43" s="5">
        <f>60</f>
        <v>60</v>
      </c>
      <c r="K43" s="5">
        <f t="shared" si="6"/>
        <v>60</v>
      </c>
      <c r="L43" s="5">
        <f t="shared" si="7"/>
        <v>893.75</v>
      </c>
    </row>
    <row r="44" spans="1:12" ht="15" customHeight="1" x14ac:dyDescent="0.25">
      <c r="A44" s="3" t="s">
        <v>77</v>
      </c>
      <c r="B44" s="4">
        <f t="shared" ref="B44:J44" si="12">((B41)+(B42))+(B43)</f>
        <v>0</v>
      </c>
      <c r="C44" s="4">
        <f t="shared" si="12"/>
        <v>1271.25</v>
      </c>
      <c r="D44" s="4">
        <f t="shared" si="12"/>
        <v>0</v>
      </c>
      <c r="E44" s="4">
        <f t="shared" si="12"/>
        <v>0</v>
      </c>
      <c r="F44" s="4">
        <f t="shared" si="12"/>
        <v>0</v>
      </c>
      <c r="G44" s="4">
        <f t="shared" si="12"/>
        <v>0</v>
      </c>
      <c r="H44" s="4">
        <f t="shared" si="12"/>
        <v>0</v>
      </c>
      <c r="I44" s="4">
        <f t="shared" si="12"/>
        <v>0</v>
      </c>
      <c r="J44" s="4">
        <f t="shared" si="12"/>
        <v>60</v>
      </c>
      <c r="K44" s="4">
        <f t="shared" si="6"/>
        <v>60</v>
      </c>
      <c r="L44" s="4">
        <f t="shared" si="7"/>
        <v>1331.25</v>
      </c>
    </row>
    <row r="45" spans="1:12" ht="15" customHeight="1" x14ac:dyDescent="0.25">
      <c r="A45" s="3" t="s">
        <v>192</v>
      </c>
      <c r="B45" s="2"/>
      <c r="C45" s="2"/>
      <c r="D45" s="2"/>
      <c r="E45" s="2"/>
      <c r="F45" s="2"/>
      <c r="G45" s="2"/>
      <c r="H45" s="2"/>
      <c r="I45" s="2"/>
      <c r="J45" s="5">
        <f>9100</f>
        <v>9100</v>
      </c>
      <c r="K45" s="5">
        <f t="shared" si="6"/>
        <v>9100</v>
      </c>
      <c r="L45" s="5">
        <f t="shared" si="7"/>
        <v>9100</v>
      </c>
    </row>
    <row r="46" spans="1:12" ht="15" customHeight="1" x14ac:dyDescent="0.25">
      <c r="A46" s="3" t="s">
        <v>76</v>
      </c>
      <c r="B46" s="4">
        <f t="shared" ref="B46:J46" si="13">(((((((((B18)+(B19))+(B20))+(B21))+(B26))+(B29))+(B33))+(B40))+(B44))+(B45)</f>
        <v>0</v>
      </c>
      <c r="C46" s="4">
        <f t="shared" si="13"/>
        <v>17193.47</v>
      </c>
      <c r="D46" s="4">
        <f t="shared" si="13"/>
        <v>0</v>
      </c>
      <c r="E46" s="4">
        <f t="shared" si="13"/>
        <v>0</v>
      </c>
      <c r="F46" s="4">
        <f t="shared" si="13"/>
        <v>7.25</v>
      </c>
      <c r="G46" s="4">
        <f t="shared" si="13"/>
        <v>0</v>
      </c>
      <c r="H46" s="4">
        <f t="shared" si="13"/>
        <v>79.97</v>
      </c>
      <c r="I46" s="4">
        <f t="shared" si="13"/>
        <v>15039.500000000002</v>
      </c>
      <c r="J46" s="4">
        <f t="shared" si="13"/>
        <v>12560</v>
      </c>
      <c r="K46" s="4">
        <f t="shared" si="6"/>
        <v>27679.47</v>
      </c>
      <c r="L46" s="4">
        <f t="shared" si="7"/>
        <v>44880.19</v>
      </c>
    </row>
    <row r="47" spans="1:12" ht="15" customHeight="1" x14ac:dyDescent="0.25">
      <c r="A47" s="3" t="s">
        <v>75</v>
      </c>
      <c r="B47" s="4">
        <f t="shared" ref="B47:J47" si="14">(B16)-(B46)</f>
        <v>0</v>
      </c>
      <c r="C47" s="4">
        <f t="shared" si="14"/>
        <v>-8860.130000000001</v>
      </c>
      <c r="D47" s="4">
        <f t="shared" si="14"/>
        <v>0</v>
      </c>
      <c r="E47" s="4">
        <f t="shared" si="14"/>
        <v>0</v>
      </c>
      <c r="F47" s="4">
        <f t="shared" si="14"/>
        <v>-7.25</v>
      </c>
      <c r="G47" s="4">
        <f t="shared" si="14"/>
        <v>46609.71</v>
      </c>
      <c r="H47" s="4">
        <f t="shared" si="14"/>
        <v>-79.97</v>
      </c>
      <c r="I47" s="4">
        <f t="shared" si="14"/>
        <v>-15039.500000000002</v>
      </c>
      <c r="J47" s="4">
        <f t="shared" si="14"/>
        <v>-12560</v>
      </c>
      <c r="K47" s="4">
        <f t="shared" si="6"/>
        <v>18930.239999999998</v>
      </c>
      <c r="L47" s="92">
        <f t="shared" si="7"/>
        <v>10062.859999999997</v>
      </c>
    </row>
    <row r="48" spans="1:12" ht="15" customHeight="1" x14ac:dyDescent="0.25">
      <c r="A48" s="3" t="s">
        <v>74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5" customHeight="1" x14ac:dyDescent="0.25">
      <c r="A49" s="3" t="s">
        <v>73</v>
      </c>
      <c r="B49" s="5">
        <f>-37000</f>
        <v>-37000</v>
      </c>
      <c r="C49" s="2"/>
      <c r="D49" s="5">
        <f>0</f>
        <v>0</v>
      </c>
      <c r="E49" s="5">
        <f>68245.22</f>
        <v>68245.22</v>
      </c>
      <c r="F49" s="5">
        <f>38970</f>
        <v>38970</v>
      </c>
      <c r="G49" s="2"/>
      <c r="H49" s="2"/>
      <c r="I49" s="2"/>
      <c r="J49" s="2"/>
      <c r="K49" s="5">
        <f t="shared" ref="K49:K56" si="15">(((G49)+(H49))+(I49))+(J49)</f>
        <v>0</v>
      </c>
      <c r="L49" s="5">
        <f t="shared" ref="L49:L56" si="16">(((((B49)+(C49))+(D49))+(E49))+(F49))+(K49)</f>
        <v>70215.22</v>
      </c>
    </row>
    <row r="50" spans="1:12" ht="15" customHeight="1" x14ac:dyDescent="0.25">
      <c r="A50" s="3" t="s">
        <v>72</v>
      </c>
      <c r="B50" s="2"/>
      <c r="C50" s="2"/>
      <c r="D50" s="2"/>
      <c r="E50" s="2"/>
      <c r="F50" s="2"/>
      <c r="G50" s="2"/>
      <c r="H50" s="2"/>
      <c r="I50" s="2"/>
      <c r="J50" s="2"/>
      <c r="K50" s="5">
        <f t="shared" si="15"/>
        <v>0</v>
      </c>
      <c r="L50" s="5">
        <f t="shared" si="16"/>
        <v>0</v>
      </c>
    </row>
    <row r="51" spans="1:12" ht="15" customHeight="1" x14ac:dyDescent="0.25">
      <c r="A51" s="3" t="s">
        <v>71</v>
      </c>
      <c r="B51" s="2"/>
      <c r="C51" s="2"/>
      <c r="D51" s="5">
        <f>7354.88</f>
        <v>7354.88</v>
      </c>
      <c r="E51" s="5">
        <f>6134.9</f>
        <v>6134.9</v>
      </c>
      <c r="F51" s="5">
        <f>448.02</f>
        <v>448.02</v>
      </c>
      <c r="G51" s="2"/>
      <c r="H51" s="2"/>
      <c r="I51" s="2"/>
      <c r="J51" s="2"/>
      <c r="K51" s="5">
        <f t="shared" si="15"/>
        <v>0</v>
      </c>
      <c r="L51" s="5">
        <f t="shared" si="16"/>
        <v>13937.8</v>
      </c>
    </row>
    <row r="52" spans="1:12" ht="15" customHeight="1" x14ac:dyDescent="0.25">
      <c r="A52" s="3" t="s">
        <v>181</v>
      </c>
      <c r="B52" s="2"/>
      <c r="C52" s="2"/>
      <c r="D52" s="5">
        <f>0</f>
        <v>0</v>
      </c>
      <c r="E52" s="5">
        <f>0</f>
        <v>0</v>
      </c>
      <c r="F52" s="5">
        <f>0</f>
        <v>0</v>
      </c>
      <c r="G52" s="2"/>
      <c r="H52" s="2"/>
      <c r="I52" s="2"/>
      <c r="J52" s="2"/>
      <c r="K52" s="5">
        <f t="shared" si="15"/>
        <v>0</v>
      </c>
      <c r="L52" s="5">
        <f t="shared" si="16"/>
        <v>0</v>
      </c>
    </row>
    <row r="53" spans="1:12" ht="15" customHeight="1" x14ac:dyDescent="0.25">
      <c r="A53" s="3" t="s">
        <v>70</v>
      </c>
      <c r="B53" s="2"/>
      <c r="C53" s="2"/>
      <c r="D53" s="5">
        <f>17593.98</f>
        <v>17593.98</v>
      </c>
      <c r="E53" s="5">
        <f>10904.89</f>
        <v>10904.89</v>
      </c>
      <c r="F53" s="5">
        <f>786.25</f>
        <v>786.25</v>
      </c>
      <c r="G53" s="2"/>
      <c r="H53" s="2"/>
      <c r="I53" s="2"/>
      <c r="J53" s="2"/>
      <c r="K53" s="5">
        <f t="shared" si="15"/>
        <v>0</v>
      </c>
      <c r="L53" s="5">
        <f t="shared" si="16"/>
        <v>29285.119999999999</v>
      </c>
    </row>
    <row r="54" spans="1:12" ht="15" customHeight="1" x14ac:dyDescent="0.25">
      <c r="A54" s="3" t="s">
        <v>69</v>
      </c>
      <c r="B54" s="2"/>
      <c r="C54" s="2"/>
      <c r="D54" s="5">
        <f>-13642.52</f>
        <v>-13642.52</v>
      </c>
      <c r="E54" s="5">
        <f>-11783.6</f>
        <v>-11783.6</v>
      </c>
      <c r="F54" s="5">
        <f>0</f>
        <v>0</v>
      </c>
      <c r="G54" s="2"/>
      <c r="H54" s="2"/>
      <c r="I54" s="2"/>
      <c r="J54" s="2"/>
      <c r="K54" s="5">
        <f t="shared" si="15"/>
        <v>0</v>
      </c>
      <c r="L54" s="5">
        <f t="shared" si="16"/>
        <v>-25426.120000000003</v>
      </c>
    </row>
    <row r="55" spans="1:12" ht="15" customHeight="1" x14ac:dyDescent="0.25">
      <c r="A55" s="3" t="s">
        <v>68</v>
      </c>
      <c r="B55" s="4">
        <f t="shared" ref="B55:J55" si="17">((((B50)+(B51))+(B52))+(B53))+(B54)</f>
        <v>0</v>
      </c>
      <c r="C55" s="4">
        <f t="shared" si="17"/>
        <v>0</v>
      </c>
      <c r="D55" s="4">
        <f t="shared" si="17"/>
        <v>11306.34</v>
      </c>
      <c r="E55" s="4">
        <f t="shared" si="17"/>
        <v>5256.1900000000005</v>
      </c>
      <c r="F55" s="4">
        <f t="shared" si="17"/>
        <v>1234.27</v>
      </c>
      <c r="G55" s="4">
        <f t="shared" si="17"/>
        <v>0</v>
      </c>
      <c r="H55" s="4">
        <f t="shared" si="17"/>
        <v>0</v>
      </c>
      <c r="I55" s="4">
        <f t="shared" si="17"/>
        <v>0</v>
      </c>
      <c r="J55" s="4">
        <f t="shared" si="17"/>
        <v>0</v>
      </c>
      <c r="K55" s="4">
        <f t="shared" si="15"/>
        <v>0</v>
      </c>
      <c r="L55" s="4">
        <f t="shared" si="16"/>
        <v>17796.8</v>
      </c>
    </row>
    <row r="56" spans="1:12" ht="15" customHeight="1" x14ac:dyDescent="0.25">
      <c r="A56" s="3" t="s">
        <v>67</v>
      </c>
      <c r="B56" s="4">
        <f t="shared" ref="B56:J56" si="18">(B49)+(B55)</f>
        <v>-37000</v>
      </c>
      <c r="C56" s="4">
        <f t="shared" si="18"/>
        <v>0</v>
      </c>
      <c r="D56" s="4">
        <f t="shared" si="18"/>
        <v>11306.34</v>
      </c>
      <c r="E56" s="4">
        <f t="shared" si="18"/>
        <v>73501.41</v>
      </c>
      <c r="F56" s="4">
        <f t="shared" si="18"/>
        <v>40204.269999999997</v>
      </c>
      <c r="G56" s="4">
        <f t="shared" si="18"/>
        <v>0</v>
      </c>
      <c r="H56" s="4">
        <f t="shared" si="18"/>
        <v>0</v>
      </c>
      <c r="I56" s="4">
        <f t="shared" si="18"/>
        <v>0</v>
      </c>
      <c r="J56" s="4">
        <f t="shared" si="18"/>
        <v>0</v>
      </c>
      <c r="K56" s="4">
        <f t="shared" si="15"/>
        <v>0</v>
      </c>
      <c r="L56" s="4">
        <f t="shared" si="16"/>
        <v>88012.01999999999</v>
      </c>
    </row>
    <row r="57" spans="1:12" x14ac:dyDescent="0.25">
      <c r="A57" s="3" t="s">
        <v>66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3" t="s">
        <v>65</v>
      </c>
      <c r="B58" s="5">
        <f>-68299.32</f>
        <v>-68299.320000000007</v>
      </c>
      <c r="C58" s="2"/>
      <c r="D58" s="2"/>
      <c r="E58" s="5">
        <f>423226.38</f>
        <v>423226.38</v>
      </c>
      <c r="F58" s="5">
        <f>14499.51</f>
        <v>14499.51</v>
      </c>
      <c r="G58" s="5">
        <f>-5000</f>
        <v>-5000</v>
      </c>
      <c r="H58" s="2"/>
      <c r="I58" s="2"/>
      <c r="J58" s="2"/>
      <c r="K58" s="5">
        <f>(((G58)+(H58))+(I58))+(J58)</f>
        <v>-5000</v>
      </c>
      <c r="L58" s="5">
        <f>(((((B58)+(C58))+(D58))+(E58))+(F58))+(K58)</f>
        <v>364426.57</v>
      </c>
    </row>
    <row r="59" spans="1:12" x14ac:dyDescent="0.25">
      <c r="A59" s="3" t="s">
        <v>64</v>
      </c>
      <c r="B59" s="4">
        <f t="shared" ref="B59:J59" si="19">B58</f>
        <v>-68299.320000000007</v>
      </c>
      <c r="C59" s="4">
        <f t="shared" si="19"/>
        <v>0</v>
      </c>
      <c r="D59" s="4">
        <f t="shared" si="19"/>
        <v>0</v>
      </c>
      <c r="E59" s="4">
        <f t="shared" si="19"/>
        <v>423226.38</v>
      </c>
      <c r="F59" s="4">
        <f t="shared" si="19"/>
        <v>14499.51</v>
      </c>
      <c r="G59" s="4">
        <f t="shared" si="19"/>
        <v>-5000</v>
      </c>
      <c r="H59" s="4">
        <f t="shared" si="19"/>
        <v>0</v>
      </c>
      <c r="I59" s="4">
        <f t="shared" si="19"/>
        <v>0</v>
      </c>
      <c r="J59" s="4">
        <f t="shared" si="19"/>
        <v>0</v>
      </c>
      <c r="K59" s="4">
        <f>(((G59)+(H59))+(I59))+(J59)</f>
        <v>-5000</v>
      </c>
      <c r="L59" s="4">
        <f>(((((B59)+(C59))+(D59))+(E59))+(F59))+(K59)</f>
        <v>364426.57</v>
      </c>
    </row>
    <row r="60" spans="1:12" x14ac:dyDescent="0.25">
      <c r="A60" s="3" t="s">
        <v>63</v>
      </c>
      <c r="B60" s="4">
        <f t="shared" ref="B60:J60" si="20">(B56)-(B59)</f>
        <v>31299.320000000007</v>
      </c>
      <c r="C60" s="4">
        <f t="shared" si="20"/>
        <v>0</v>
      </c>
      <c r="D60" s="4">
        <f t="shared" si="20"/>
        <v>11306.34</v>
      </c>
      <c r="E60" s="4">
        <f t="shared" si="20"/>
        <v>-349724.97</v>
      </c>
      <c r="F60" s="4">
        <f t="shared" si="20"/>
        <v>25704.759999999995</v>
      </c>
      <c r="G60" s="4">
        <f t="shared" si="20"/>
        <v>5000</v>
      </c>
      <c r="H60" s="4">
        <f t="shared" si="20"/>
        <v>0</v>
      </c>
      <c r="I60" s="4">
        <f t="shared" si="20"/>
        <v>0</v>
      </c>
      <c r="J60" s="4">
        <f t="shared" si="20"/>
        <v>0</v>
      </c>
      <c r="K60" s="4">
        <f>(((G60)+(H60))+(I60))+(J60)</f>
        <v>5000</v>
      </c>
      <c r="L60" s="4">
        <f>(((((B60)+(C60))+(D60))+(E60))+(F60))+(K60)</f>
        <v>-276414.54999999993</v>
      </c>
    </row>
    <row r="61" spans="1:12" x14ac:dyDescent="0.25">
      <c r="A61" s="3" t="s">
        <v>62</v>
      </c>
      <c r="B61" s="4">
        <f t="shared" ref="B61:J61" si="21">(B47)+(B60)</f>
        <v>31299.320000000007</v>
      </c>
      <c r="C61" s="4">
        <f t="shared" si="21"/>
        <v>-8860.130000000001</v>
      </c>
      <c r="D61" s="4">
        <f t="shared" si="21"/>
        <v>11306.34</v>
      </c>
      <c r="E61" s="4">
        <f t="shared" si="21"/>
        <v>-349724.97</v>
      </c>
      <c r="F61" s="4">
        <f t="shared" si="21"/>
        <v>25697.509999999995</v>
      </c>
      <c r="G61" s="4">
        <f t="shared" si="21"/>
        <v>51609.71</v>
      </c>
      <c r="H61" s="4">
        <f t="shared" si="21"/>
        <v>-79.97</v>
      </c>
      <c r="I61" s="4">
        <f t="shared" si="21"/>
        <v>-15039.500000000002</v>
      </c>
      <c r="J61" s="4">
        <f t="shared" si="21"/>
        <v>-12560</v>
      </c>
      <c r="K61" s="4">
        <f>(((G61)+(H61))+(I61))+(J61)</f>
        <v>23930.239999999998</v>
      </c>
      <c r="L61" s="4">
        <f>(((((B61)+(C61))+(D61))+(E61))+(F61))+(K61)</f>
        <v>-266351.68999999994</v>
      </c>
    </row>
    <row r="62" spans="1:12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104" t="s">
        <v>61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</row>
    <row r="65" spans="1:12" x14ac:dyDescent="0.25">
      <c r="A65" s="98" t="s">
        <v>230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</row>
  </sheetData>
  <mergeCells count="5">
    <mergeCell ref="A63:L63"/>
    <mergeCell ref="A65:L65"/>
    <mergeCell ref="A1:J1"/>
    <mergeCell ref="A2:J2"/>
    <mergeCell ref="A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5"/>
  <sheetViews>
    <sheetView workbookViewId="0">
      <selection activeCell="A15" sqref="A15:G15"/>
    </sheetView>
  </sheetViews>
  <sheetFormatPr defaultRowHeight="15" x14ac:dyDescent="0.25"/>
  <cols>
    <col min="1" max="1" width="31.85546875" customWidth="1"/>
    <col min="2" max="7" width="11.140625" customWidth="1"/>
  </cols>
  <sheetData>
    <row r="1" spans="1:7" ht="18" x14ac:dyDescent="0.25">
      <c r="A1" s="100" t="s">
        <v>59</v>
      </c>
      <c r="B1" s="99"/>
      <c r="C1" s="99"/>
      <c r="D1" s="99"/>
      <c r="E1" s="99"/>
      <c r="F1" s="99"/>
      <c r="G1" s="99"/>
    </row>
    <row r="2" spans="1:7" ht="18" x14ac:dyDescent="0.25">
      <c r="A2" s="100" t="s">
        <v>132</v>
      </c>
      <c r="B2" s="99"/>
      <c r="C2" s="99"/>
      <c r="D2" s="99"/>
      <c r="E2" s="99"/>
      <c r="F2" s="99"/>
      <c r="G2" s="99"/>
    </row>
    <row r="3" spans="1:7" x14ac:dyDescent="0.25">
      <c r="A3" s="101" t="s">
        <v>231</v>
      </c>
      <c r="B3" s="99"/>
      <c r="C3" s="99"/>
      <c r="D3" s="99"/>
      <c r="E3" s="99"/>
      <c r="F3" s="99"/>
      <c r="G3" s="99"/>
    </row>
    <row r="5" spans="1:7" x14ac:dyDescent="0.25">
      <c r="A5" s="1"/>
      <c r="B5" s="84" t="s">
        <v>131</v>
      </c>
      <c r="C5" s="84" t="s">
        <v>130</v>
      </c>
      <c r="D5" s="84" t="s">
        <v>129</v>
      </c>
      <c r="E5" s="84" t="s">
        <v>128</v>
      </c>
      <c r="F5" s="84" t="s">
        <v>127</v>
      </c>
      <c r="G5" s="84" t="s">
        <v>0</v>
      </c>
    </row>
    <row r="6" spans="1:7" x14ac:dyDescent="0.25">
      <c r="A6" s="3" t="s">
        <v>201</v>
      </c>
      <c r="B6" s="5">
        <f>380</f>
        <v>380</v>
      </c>
      <c r="C6" s="2"/>
      <c r="D6" s="2"/>
      <c r="E6" s="2"/>
      <c r="F6" s="2"/>
      <c r="G6" s="5">
        <f>((((B6)+(C6))+(D6))+(E6))+(F6)</f>
        <v>380</v>
      </c>
    </row>
    <row r="7" spans="1:7" x14ac:dyDescent="0.25">
      <c r="A7" s="3" t="s">
        <v>207</v>
      </c>
      <c r="B7" s="5">
        <f>2200</f>
        <v>2200</v>
      </c>
      <c r="C7" s="2"/>
      <c r="D7" s="2"/>
      <c r="E7" s="2"/>
      <c r="F7" s="2"/>
      <c r="G7" s="5">
        <f>((((B7)+(C7))+(D7))+(E7))+(F7)</f>
        <v>2200</v>
      </c>
    </row>
    <row r="8" spans="1:7" x14ac:dyDescent="0.25">
      <c r="A8" s="3" t="s">
        <v>126</v>
      </c>
      <c r="B8" s="4">
        <f>(B6)+(B7)</f>
        <v>2580</v>
      </c>
      <c r="C8" s="4">
        <f>(C6)+(C7)</f>
        <v>0</v>
      </c>
      <c r="D8" s="4">
        <f>(D6)+(D7)</f>
        <v>0</v>
      </c>
      <c r="E8" s="4">
        <f>(E6)+(E7)</f>
        <v>0</v>
      </c>
      <c r="F8" s="4">
        <f>(F6)+(F7)</f>
        <v>0</v>
      </c>
      <c r="G8" s="4">
        <f>((((B8)+(C8))+(D8))+(E8))+(F8)</f>
        <v>2580</v>
      </c>
    </row>
    <row r="9" spans="1:7" x14ac:dyDescent="0.25">
      <c r="A9" s="3"/>
      <c r="B9" s="2"/>
      <c r="C9" s="2"/>
      <c r="D9" s="2"/>
      <c r="E9" s="2"/>
      <c r="F9" s="2"/>
      <c r="G9" s="2"/>
    </row>
    <row r="12" spans="1:7" x14ac:dyDescent="0.25">
      <c r="A12" s="98" t="s">
        <v>239</v>
      </c>
      <c r="B12" s="99"/>
      <c r="C12" s="99"/>
      <c r="D12" s="99"/>
      <c r="E12" s="99"/>
      <c r="F12" s="99"/>
      <c r="G12" s="99"/>
    </row>
    <row r="15" spans="1:7" x14ac:dyDescent="0.25">
      <c r="A15" s="98"/>
      <c r="B15" s="99"/>
      <c r="C15" s="99"/>
      <c r="D15" s="99"/>
      <c r="E15" s="99"/>
      <c r="F15" s="99"/>
      <c r="G15" s="99"/>
    </row>
  </sheetData>
  <mergeCells count="5">
    <mergeCell ref="A1:G1"/>
    <mergeCell ref="A2:G2"/>
    <mergeCell ref="A3:G3"/>
    <mergeCell ref="A12:G12"/>
    <mergeCell ref="A15:G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84A1-F0D6-45B8-B085-7D279629B8FD}">
  <dimension ref="A1:G12"/>
  <sheetViews>
    <sheetView workbookViewId="0">
      <selection activeCell="B6" sqref="B6"/>
    </sheetView>
  </sheetViews>
  <sheetFormatPr defaultRowHeight="15" x14ac:dyDescent="0.25"/>
  <cols>
    <col min="1" max="1" width="37.85546875" customWidth="1"/>
    <col min="2" max="7" width="11.140625" customWidth="1"/>
  </cols>
  <sheetData>
    <row r="1" spans="1:7" ht="18" x14ac:dyDescent="0.25">
      <c r="A1" s="100" t="s">
        <v>59</v>
      </c>
      <c r="B1" s="99"/>
      <c r="C1" s="99"/>
      <c r="D1" s="99"/>
      <c r="E1" s="99"/>
      <c r="F1" s="99"/>
      <c r="G1" s="99"/>
    </row>
    <row r="2" spans="1:7" ht="18" x14ac:dyDescent="0.25">
      <c r="A2" s="100" t="s">
        <v>205</v>
      </c>
      <c r="B2" s="99"/>
      <c r="C2" s="99"/>
      <c r="D2" s="99"/>
      <c r="E2" s="99"/>
      <c r="F2" s="99"/>
      <c r="G2" s="99"/>
    </row>
    <row r="3" spans="1:7" x14ac:dyDescent="0.25">
      <c r="A3" s="101" t="s">
        <v>231</v>
      </c>
      <c r="B3" s="99"/>
      <c r="C3" s="99"/>
      <c r="D3" s="99"/>
      <c r="E3" s="99"/>
      <c r="F3" s="99"/>
      <c r="G3" s="99"/>
    </row>
    <row r="5" spans="1:7" x14ac:dyDescent="0.25">
      <c r="A5" s="1"/>
      <c r="B5" s="84" t="s">
        <v>131</v>
      </c>
      <c r="C5" s="84" t="s">
        <v>130</v>
      </c>
      <c r="D5" s="84" t="s">
        <v>129</v>
      </c>
      <c r="E5" s="84" t="s">
        <v>128</v>
      </c>
      <c r="F5" s="84" t="s">
        <v>127</v>
      </c>
      <c r="G5" s="84" t="s">
        <v>0</v>
      </c>
    </row>
    <row r="6" spans="1:7" x14ac:dyDescent="0.25">
      <c r="A6" s="3" t="s">
        <v>211</v>
      </c>
      <c r="B6" s="5">
        <f>4166.67</f>
        <v>4166.67</v>
      </c>
      <c r="C6" s="5">
        <f>4166.67</f>
        <v>4166.67</v>
      </c>
      <c r="D6" s="2"/>
      <c r="E6" s="2"/>
      <c r="F6" s="2"/>
      <c r="G6" s="5">
        <f>((((B6)+(C6))+(D6))+(E6))+(F6)</f>
        <v>8333.34</v>
      </c>
    </row>
    <row r="7" spans="1:7" x14ac:dyDescent="0.25">
      <c r="A7" s="3" t="s">
        <v>237</v>
      </c>
      <c r="B7" s="5">
        <f>5815</f>
        <v>5815</v>
      </c>
      <c r="C7" s="2"/>
      <c r="D7" s="2"/>
      <c r="E7" s="2"/>
      <c r="F7" s="2"/>
      <c r="G7" s="5">
        <f>((((B7)+(C7))+(D7))+(E7))+(F7)</f>
        <v>5815</v>
      </c>
    </row>
    <row r="8" spans="1:7" x14ac:dyDescent="0.25">
      <c r="A8" s="3" t="s">
        <v>126</v>
      </c>
      <c r="B8" s="4">
        <f>(B6)+(B7)</f>
        <v>9981.67</v>
      </c>
      <c r="C8" s="4">
        <f>(C6)+(C7)</f>
        <v>4166.67</v>
      </c>
      <c r="D8" s="4">
        <f>(D6)+(D7)</f>
        <v>0</v>
      </c>
      <c r="E8" s="4">
        <f>(E6)+(E7)</f>
        <v>0</v>
      </c>
      <c r="F8" s="4">
        <f>(F6)+(F7)</f>
        <v>0</v>
      </c>
      <c r="G8" s="4">
        <f>((((B8)+(C8))+(D8))+(E8))+(F8)</f>
        <v>14148.34</v>
      </c>
    </row>
    <row r="9" spans="1:7" x14ac:dyDescent="0.25">
      <c r="A9" s="3"/>
      <c r="B9" s="2"/>
      <c r="C9" s="2"/>
      <c r="D9" s="2"/>
      <c r="E9" s="2"/>
      <c r="F9" s="2"/>
      <c r="G9" s="2"/>
    </row>
    <row r="12" spans="1:7" x14ac:dyDescent="0.25">
      <c r="A12" s="98" t="s">
        <v>238</v>
      </c>
      <c r="B12" s="99"/>
      <c r="C12" s="99"/>
      <c r="D12" s="99"/>
      <c r="E12" s="99"/>
      <c r="F12" s="99"/>
      <c r="G12" s="99"/>
    </row>
  </sheetData>
  <mergeCells count="4">
    <mergeCell ref="A1:G1"/>
    <mergeCell ref="A2:G2"/>
    <mergeCell ref="A3:G3"/>
    <mergeCell ref="A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Table</vt:lpstr>
      <vt:lpstr>Funds and Assets</vt:lpstr>
      <vt:lpstr>Statement of Financial Position</vt:lpstr>
      <vt:lpstr>Budget vs. Actuals</vt:lpstr>
      <vt:lpstr>L &amp; L Grinspoon</vt:lpstr>
      <vt:lpstr>A P Aging Summary</vt:lpstr>
      <vt:lpstr>AR Aging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2023-05-10T12:41:33Z</cp:lastPrinted>
  <dcterms:created xsi:type="dcterms:W3CDTF">2021-09-20T13:27:09Z</dcterms:created>
  <dcterms:modified xsi:type="dcterms:W3CDTF">2024-08-22T00:57:28Z</dcterms:modified>
</cp:coreProperties>
</file>