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5\"/>
    </mc:Choice>
  </mc:AlternateContent>
  <xr:revisionPtr revIDLastSave="0" documentId="13_ncr:1_{1825B1C5-445E-47E2-9051-1133DBEC0AC2}" xr6:coauthVersionLast="47" xr6:coauthVersionMax="47" xr10:uidLastSave="{00000000-0000-0000-0000-000000000000}"/>
  <bookViews>
    <workbookView xWindow="13550" yWindow="-110" windowWidth="19420" windowHeight="10420" activeTab="1" xr2:uid="{FE45D554-B7D7-449E-B14D-0A2BFA4D40A2}"/>
  </bookViews>
  <sheets>
    <sheet name="Compensation" sheetId="1" r:id="rId1"/>
    <sheet name="Budget" sheetId="2" r:id="rId2"/>
    <sheet name="P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C25" i="3"/>
  <c r="H5" i="3"/>
  <c r="F16" i="2"/>
  <c r="F61" i="2"/>
  <c r="D54" i="2"/>
  <c r="E39" i="2"/>
  <c r="D39" i="2"/>
  <c r="G5" i="2"/>
  <c r="G4" i="2"/>
  <c r="G6" i="2"/>
  <c r="D11" i="2" l="1"/>
  <c r="D16" i="2" s="1"/>
  <c r="D19" i="2" s="1"/>
  <c r="D20" i="2" s="1"/>
  <c r="F17" i="2"/>
  <c r="F63" i="2"/>
  <c r="F60" i="2"/>
  <c r="F59" i="2"/>
  <c r="F58" i="2"/>
  <c r="F57" i="2"/>
  <c r="F55" i="2"/>
  <c r="F54" i="2"/>
  <c r="F53" i="2"/>
  <c r="F52" i="2"/>
  <c r="F51" i="2"/>
  <c r="F50" i="2"/>
  <c r="F47" i="2"/>
  <c r="F48" i="2" s="1"/>
  <c r="F44" i="2"/>
  <c r="F43" i="2"/>
  <c r="F42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15" i="2"/>
  <c r="F12" i="2"/>
  <c r="F14" i="2" s="1"/>
  <c r="F13" i="2"/>
  <c r="C62" i="2"/>
  <c r="D62" i="2"/>
  <c r="E62" i="2"/>
  <c r="C56" i="2"/>
  <c r="D56" i="2"/>
  <c r="E56" i="2"/>
  <c r="C48" i="2"/>
  <c r="D48" i="2"/>
  <c r="E48" i="2"/>
  <c r="C45" i="2"/>
  <c r="D45" i="2"/>
  <c r="E45" i="2"/>
  <c r="C40" i="2"/>
  <c r="D40" i="2"/>
  <c r="E40" i="2"/>
  <c r="E16" i="2"/>
  <c r="E19" i="2" s="1"/>
  <c r="E20" i="2" s="1"/>
  <c r="C14" i="2"/>
  <c r="C16" i="2" s="1"/>
  <c r="C19" i="2" s="1"/>
  <c r="C20" i="2" s="1"/>
  <c r="D14" i="2"/>
  <c r="E14" i="2"/>
  <c r="AL14" i="3"/>
  <c r="AM14" i="3" s="1"/>
  <c r="AL15" i="3"/>
  <c r="AM15" i="3" s="1"/>
  <c r="AL16" i="3"/>
  <c r="AL17" i="3"/>
  <c r="AM17" i="3" s="1"/>
  <c r="AL18" i="3"/>
  <c r="AL19" i="3"/>
  <c r="AL20" i="3"/>
  <c r="AL21" i="3"/>
  <c r="AL22" i="3"/>
  <c r="AM22" i="3" s="1"/>
  <c r="AL23" i="3"/>
  <c r="AM23" i="3" s="1"/>
  <c r="AL24" i="3"/>
  <c r="AM24" i="3" s="1"/>
  <c r="AL13" i="3"/>
  <c r="AM13" i="3" s="1"/>
  <c r="AK14" i="3"/>
  <c r="AK15" i="3"/>
  <c r="AK16" i="3"/>
  <c r="AK17" i="3"/>
  <c r="AK18" i="3"/>
  <c r="AM18" i="3" s="1"/>
  <c r="AK19" i="3"/>
  <c r="AM19" i="3" s="1"/>
  <c r="AK20" i="3"/>
  <c r="AM20" i="3" s="1"/>
  <c r="AK21" i="3"/>
  <c r="AM21" i="3" s="1"/>
  <c r="AK22" i="3"/>
  <c r="AK23" i="3"/>
  <c r="AK24" i="3"/>
  <c r="AK13" i="3"/>
  <c r="AG24" i="3"/>
  <c r="AA24" i="3"/>
  <c r="AB24" i="3" s="1"/>
  <c r="V24" i="3"/>
  <c r="O24" i="3"/>
  <c r="AG23" i="3"/>
  <c r="AB23" i="3"/>
  <c r="AA23" i="3"/>
  <c r="S23" i="3"/>
  <c r="V23" i="3" s="1"/>
  <c r="O23" i="3"/>
  <c r="AG22" i="3"/>
  <c r="AA22" i="3"/>
  <c r="AB22" i="3" s="1"/>
  <c r="V22" i="3"/>
  <c r="O22" i="3"/>
  <c r="AG21" i="3"/>
  <c r="AG20" i="3"/>
  <c r="AG19" i="3"/>
  <c r="AG18" i="3"/>
  <c r="AG17" i="3"/>
  <c r="AG16" i="3"/>
  <c r="AG15" i="3"/>
  <c r="AG14" i="3"/>
  <c r="AG13" i="3"/>
  <c r="AA13" i="3"/>
  <c r="AB13" i="3" s="1"/>
  <c r="V13" i="3"/>
  <c r="O13" i="3"/>
  <c r="E64" i="2" l="1"/>
  <c r="E65" i="2" s="1"/>
  <c r="E66" i="2" s="1"/>
  <c r="F11" i="2"/>
  <c r="F19" i="2" s="1"/>
  <c r="F20" i="2" s="1"/>
  <c r="F40" i="2"/>
  <c r="D64" i="2"/>
  <c r="D65" i="2" s="1"/>
  <c r="D66" i="2" s="1"/>
  <c r="C64" i="2"/>
  <c r="C65" i="2" s="1"/>
  <c r="C66" i="2" s="1"/>
  <c r="F62" i="2"/>
  <c r="F56" i="2"/>
  <c r="F45" i="2"/>
  <c r="AM16" i="3"/>
  <c r="AC23" i="3"/>
  <c r="AD23" i="3" s="1"/>
  <c r="AC22" i="3"/>
  <c r="AD22" i="3" s="1"/>
  <c r="AC13" i="3"/>
  <c r="AD13" i="3" s="1"/>
  <c r="AC24" i="3"/>
  <c r="AD24" i="3" s="1"/>
  <c r="D22" i="3"/>
  <c r="E22" i="3"/>
  <c r="C22" i="3"/>
  <c r="K71" i="2"/>
  <c r="J74" i="2"/>
  <c r="J75" i="2" s="1"/>
  <c r="H70" i="2" s="1"/>
  <c r="H71" i="2" s="1"/>
  <c r="J73" i="2"/>
  <c r="F64" i="2" l="1"/>
  <c r="F65" i="2" s="1"/>
  <c r="F66" i="2" s="1"/>
  <c r="Y14" i="1"/>
  <c r="Y13" i="1"/>
  <c r="H18" i="2"/>
  <c r="R43" i="2"/>
  <c r="K35" i="2"/>
  <c r="N35" i="2"/>
  <c r="P35" i="2"/>
  <c r="I35" i="2"/>
  <c r="H35" i="2"/>
  <c r="L35" i="2" s="1"/>
  <c r="M37" i="2"/>
  <c r="N37" i="2"/>
  <c r="O37" i="2"/>
  <c r="P37" i="2"/>
  <c r="Q37" i="2"/>
  <c r="R37" i="2"/>
  <c r="S37" i="2"/>
  <c r="T37" i="2"/>
  <c r="L37" i="2"/>
  <c r="J31" i="2"/>
  <c r="K31" i="2"/>
  <c r="L31" i="2"/>
  <c r="M31" i="2"/>
  <c r="N31" i="2"/>
  <c r="O31" i="2"/>
  <c r="P31" i="2"/>
  <c r="Q31" i="2"/>
  <c r="R31" i="2"/>
  <c r="S31" i="2"/>
  <c r="T31" i="2"/>
  <c r="I31" i="2"/>
  <c r="J25" i="2"/>
  <c r="K25" i="2"/>
  <c r="L25" i="2"/>
  <c r="M25" i="2"/>
  <c r="N25" i="2"/>
  <c r="O25" i="2"/>
  <c r="P25" i="2"/>
  <c r="Q25" i="2"/>
  <c r="R25" i="2"/>
  <c r="S25" i="2"/>
  <c r="T25" i="2"/>
  <c r="I25" i="2"/>
  <c r="J35" i="2" l="1"/>
  <c r="S35" i="2"/>
  <c r="R35" i="2"/>
  <c r="Q35" i="2"/>
  <c r="O35" i="2"/>
  <c r="M35" i="2"/>
  <c r="U35" i="2"/>
  <c r="T35" i="2"/>
  <c r="E25" i="3"/>
  <c r="J6" i="3" s="1"/>
  <c r="Q2" i="1"/>
  <c r="N152" i="3"/>
  <c r="V17" i="2"/>
  <c r="I18" i="2"/>
  <c r="J18" i="2"/>
  <c r="K18" i="2"/>
  <c r="L18" i="2"/>
  <c r="M18" i="2"/>
  <c r="N18" i="2"/>
  <c r="O18" i="2"/>
  <c r="P18" i="2"/>
  <c r="Q18" i="2"/>
  <c r="R18" i="2"/>
  <c r="S18" i="2"/>
  <c r="T18" i="2"/>
  <c r="D25" i="3"/>
  <c r="I6" i="3" s="1"/>
  <c r="B40" i="2"/>
  <c r="G40" i="2"/>
  <c r="V35" i="2" l="1"/>
  <c r="V18" i="2"/>
  <c r="AA12" i="1" l="1"/>
  <c r="R4" i="1"/>
  <c r="Q4" i="1"/>
  <c r="P4" i="1"/>
  <c r="E120" i="3" l="1"/>
  <c r="D120" i="3"/>
  <c r="C120" i="3"/>
  <c r="E110" i="3"/>
  <c r="D110" i="3"/>
  <c r="C110" i="3"/>
  <c r="E102" i="3"/>
  <c r="D102" i="3"/>
  <c r="C102" i="3"/>
  <c r="D93" i="3"/>
  <c r="D38" i="3" s="1"/>
  <c r="C93" i="3"/>
  <c r="C38" i="3" s="1"/>
  <c r="E89" i="3"/>
  <c r="E93" i="3" s="1"/>
  <c r="E38" i="3" s="1"/>
  <c r="D56" i="3"/>
  <c r="D36" i="3" s="1"/>
  <c r="C56" i="3"/>
  <c r="D79" i="3"/>
  <c r="D37" i="3" s="1"/>
  <c r="E79" i="3"/>
  <c r="E37" i="3" s="1"/>
  <c r="C79" i="3"/>
  <c r="C37" i="3" s="1"/>
  <c r="E24" i="3"/>
  <c r="E27" i="3" s="1"/>
  <c r="D24" i="3"/>
  <c r="D27" i="3" s="1"/>
  <c r="C24" i="3" l="1"/>
  <c r="I5" i="3"/>
  <c r="J5" i="3"/>
  <c r="E123" i="3"/>
  <c r="E39" i="3" s="1"/>
  <c r="D123" i="3"/>
  <c r="C123" i="3"/>
  <c r="C27" i="3" l="1"/>
  <c r="H7" i="3" s="1"/>
  <c r="D125" i="3"/>
  <c r="I7" i="3" s="1"/>
  <c r="D39" i="3"/>
  <c r="D42" i="3" s="1"/>
  <c r="C125" i="3"/>
  <c r="C39" i="3"/>
  <c r="C42" i="3" s="1"/>
  <c r="C128" i="3" l="1"/>
  <c r="D128" i="3"/>
  <c r="B62" i="2"/>
  <c r="B56" i="2"/>
  <c r="B48" i="2"/>
  <c r="B45" i="2"/>
  <c r="B14" i="2"/>
  <c r="B16" i="2" s="1"/>
  <c r="B19" i="2" s="1"/>
  <c r="B20" i="2" s="1"/>
  <c r="G62" i="2"/>
  <c r="G56" i="2"/>
  <c r="G48" i="2"/>
  <c r="G45" i="2"/>
  <c r="G14" i="2"/>
  <c r="G16" i="2" s="1"/>
  <c r="G19" i="2" s="1"/>
  <c r="G20" i="2" s="1"/>
  <c r="J59" i="2"/>
  <c r="K59" i="2"/>
  <c r="L59" i="2"/>
  <c r="M59" i="2"/>
  <c r="N59" i="2"/>
  <c r="O59" i="2"/>
  <c r="P59" i="2"/>
  <c r="Q59" i="2"/>
  <c r="R59" i="2"/>
  <c r="S59" i="2"/>
  <c r="T59" i="2"/>
  <c r="U59" i="2"/>
  <c r="I59" i="2"/>
  <c r="J55" i="2"/>
  <c r="K55" i="2"/>
  <c r="L55" i="2"/>
  <c r="M55" i="2"/>
  <c r="N55" i="2"/>
  <c r="O55" i="2"/>
  <c r="P55" i="2"/>
  <c r="Q55" i="2"/>
  <c r="R55" i="2"/>
  <c r="S55" i="2"/>
  <c r="T55" i="2"/>
  <c r="I55" i="2"/>
  <c r="J53" i="2"/>
  <c r="K53" i="2"/>
  <c r="L53" i="2"/>
  <c r="M53" i="2"/>
  <c r="N53" i="2"/>
  <c r="O53" i="2"/>
  <c r="P53" i="2"/>
  <c r="Q53" i="2"/>
  <c r="R53" i="2"/>
  <c r="S53" i="2"/>
  <c r="T53" i="2"/>
  <c r="I53" i="2"/>
  <c r="J30" i="2"/>
  <c r="K30" i="2"/>
  <c r="L30" i="2"/>
  <c r="M30" i="2"/>
  <c r="N30" i="2"/>
  <c r="O30" i="2"/>
  <c r="P30" i="2"/>
  <c r="Q30" i="2"/>
  <c r="R30" i="2"/>
  <c r="S30" i="2"/>
  <c r="T30" i="2"/>
  <c r="I30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I29" i="2"/>
  <c r="J27" i="2"/>
  <c r="K27" i="2"/>
  <c r="L27" i="2"/>
  <c r="M27" i="2"/>
  <c r="N27" i="2"/>
  <c r="O27" i="2"/>
  <c r="P27" i="2"/>
  <c r="Q27" i="2"/>
  <c r="R27" i="2"/>
  <c r="S27" i="2"/>
  <c r="T27" i="2"/>
  <c r="I27" i="2"/>
  <c r="J24" i="2"/>
  <c r="K24" i="2"/>
  <c r="L24" i="2"/>
  <c r="M24" i="2"/>
  <c r="N24" i="2"/>
  <c r="O24" i="2"/>
  <c r="P24" i="2"/>
  <c r="Q24" i="2"/>
  <c r="R24" i="2"/>
  <c r="S24" i="2"/>
  <c r="T24" i="2"/>
  <c r="I24" i="2"/>
  <c r="J22" i="2"/>
  <c r="K22" i="2"/>
  <c r="L22" i="2"/>
  <c r="M22" i="2"/>
  <c r="N22" i="2"/>
  <c r="O22" i="2"/>
  <c r="P22" i="2"/>
  <c r="Q22" i="2"/>
  <c r="R22" i="2"/>
  <c r="S22" i="2"/>
  <c r="T22" i="2"/>
  <c r="I22" i="2"/>
  <c r="J15" i="2"/>
  <c r="K15" i="2"/>
  <c r="L15" i="2"/>
  <c r="M15" i="2"/>
  <c r="N15" i="2"/>
  <c r="O15" i="2"/>
  <c r="P15" i="2"/>
  <c r="Q15" i="2"/>
  <c r="R15" i="2"/>
  <c r="S15" i="2"/>
  <c r="T15" i="2"/>
  <c r="I15" i="2"/>
  <c r="R13" i="2"/>
  <c r="O13" i="2"/>
  <c r="L13" i="2"/>
  <c r="I13" i="2"/>
  <c r="V21" i="2"/>
  <c r="V34" i="2"/>
  <c r="V37" i="2"/>
  <c r="V41" i="2"/>
  <c r="V46" i="2"/>
  <c r="V49" i="2"/>
  <c r="V57" i="2"/>
  <c r="V12" i="2"/>
  <c r="Q7" i="1"/>
  <c r="R7" i="1"/>
  <c r="S7" i="1"/>
  <c r="T7" i="1"/>
  <c r="U7" i="1"/>
  <c r="V7" i="1"/>
  <c r="W7" i="1"/>
  <c r="X7" i="1"/>
  <c r="Y7" i="1"/>
  <c r="I5" i="1"/>
  <c r="H42" i="2"/>
  <c r="AH2" i="2"/>
  <c r="AI2" i="2" s="1"/>
  <c r="G64" i="2" l="1"/>
  <c r="B64" i="2"/>
  <c r="V30" i="2"/>
  <c r="V31" i="2"/>
  <c r="V55" i="2"/>
  <c r="V24" i="2"/>
  <c r="V59" i="2"/>
  <c r="V27" i="2"/>
  <c r="V29" i="2"/>
  <c r="V22" i="2"/>
  <c r="V25" i="2"/>
  <c r="V53" i="2"/>
  <c r="B65" i="2" l="1"/>
  <c r="B66" i="2" s="1"/>
  <c r="G65" i="2"/>
  <c r="G66" i="2" s="1"/>
  <c r="F67" i="2" s="1"/>
  <c r="V15" i="2"/>
  <c r="K7" i="1" l="1"/>
  <c r="H62" i="2" l="1"/>
  <c r="H56" i="2"/>
  <c r="H48" i="2"/>
  <c r="H45" i="2"/>
  <c r="H14" i="2"/>
  <c r="H16" i="2" s="1"/>
  <c r="H19" i="2" s="1"/>
  <c r="H20" i="2" l="1"/>
  <c r="AS74" i="2"/>
  <c r="AR74" i="2"/>
  <c r="AQ74" i="2"/>
  <c r="AO74" i="2" l="1"/>
  <c r="AM74" i="2"/>
  <c r="AK74" i="2"/>
  <c r="AI74" i="2"/>
  <c r="AJ8" i="2" l="1"/>
  <c r="AK8" i="2" s="1"/>
  <c r="AO37" i="2" l="1"/>
  <c r="AM37" i="2"/>
  <c r="AK37" i="2"/>
  <c r="AI37" i="2"/>
  <c r="AG37" i="2"/>
  <c r="AE38" i="2"/>
  <c r="Y37" i="2"/>
  <c r="AD37" i="2" s="1"/>
  <c r="AE37" i="2" s="1"/>
  <c r="AO61" i="2"/>
  <c r="AO60" i="2"/>
  <c r="AO59" i="2"/>
  <c r="AO58" i="2"/>
  <c r="AO55" i="2"/>
  <c r="AO54" i="2"/>
  <c r="AO53" i="2"/>
  <c r="AO52" i="2"/>
  <c r="AO51" i="2"/>
  <c r="AO50" i="2"/>
  <c r="AO47" i="2"/>
  <c r="AO48" i="2" s="1"/>
  <c r="AO44" i="2"/>
  <c r="AO43" i="2"/>
  <c r="AO42" i="2"/>
  <c r="AO38" i="2"/>
  <c r="AO33" i="2"/>
  <c r="AO32" i="2"/>
  <c r="AO31" i="2"/>
  <c r="AO30" i="2"/>
  <c r="AO29" i="2"/>
  <c r="AO27" i="2"/>
  <c r="AO26" i="2"/>
  <c r="AO25" i="2"/>
  <c r="AO24" i="2"/>
  <c r="AO23" i="2"/>
  <c r="AO22" i="2"/>
  <c r="AO15" i="2"/>
  <c r="AO11" i="2"/>
  <c r="AM61" i="2"/>
  <c r="AM60" i="2"/>
  <c r="AM59" i="2"/>
  <c r="AM58" i="2"/>
  <c r="AM55" i="2"/>
  <c r="AM54" i="2"/>
  <c r="AM53" i="2"/>
  <c r="AM52" i="2"/>
  <c r="AM51" i="2"/>
  <c r="AM50" i="2"/>
  <c r="AM47" i="2"/>
  <c r="AM48" i="2" s="1"/>
  <c r="AM44" i="2"/>
  <c r="AM43" i="2"/>
  <c r="AM42" i="2"/>
  <c r="AM38" i="2"/>
  <c r="AM33" i="2"/>
  <c r="AM32" i="2"/>
  <c r="AM31" i="2"/>
  <c r="AM30" i="2"/>
  <c r="AM29" i="2"/>
  <c r="AM27" i="2"/>
  <c r="AM26" i="2"/>
  <c r="AM25" i="2"/>
  <c r="AM24" i="2"/>
  <c r="AM23" i="2"/>
  <c r="AM22" i="2"/>
  <c r="AM15" i="2"/>
  <c r="AM11" i="2"/>
  <c r="AK61" i="2"/>
  <c r="AK60" i="2"/>
  <c r="AK59" i="2"/>
  <c r="AK58" i="2"/>
  <c r="AK55" i="2"/>
  <c r="AK54" i="2"/>
  <c r="AK53" i="2"/>
  <c r="AK52" i="2"/>
  <c r="AK51" i="2"/>
  <c r="AK50" i="2"/>
  <c r="AK47" i="2"/>
  <c r="AK48" i="2" s="1"/>
  <c r="AK44" i="2"/>
  <c r="AK43" i="2"/>
  <c r="AK42" i="2"/>
  <c r="AK38" i="2"/>
  <c r="AK33" i="2"/>
  <c r="AK32" i="2"/>
  <c r="AK31" i="2"/>
  <c r="AK30" i="2"/>
  <c r="AK29" i="2"/>
  <c r="AK27" i="2"/>
  <c r="AK26" i="2"/>
  <c r="AK25" i="2"/>
  <c r="AK24" i="2"/>
  <c r="AK23" i="2"/>
  <c r="AK22" i="2"/>
  <c r="AK15" i="2"/>
  <c r="AK11" i="2"/>
  <c r="AI61" i="2"/>
  <c r="AI60" i="2"/>
  <c r="AI59" i="2"/>
  <c r="AI58" i="2"/>
  <c r="AI55" i="2"/>
  <c r="AI54" i="2"/>
  <c r="AI53" i="2"/>
  <c r="AI52" i="2"/>
  <c r="AI51" i="2"/>
  <c r="AI50" i="2"/>
  <c r="AI47" i="2"/>
  <c r="AI48" i="2" s="1"/>
  <c r="AI44" i="2"/>
  <c r="AI43" i="2"/>
  <c r="AI42" i="2"/>
  <c r="AI38" i="2"/>
  <c r="AI33" i="2"/>
  <c r="AI32" i="2"/>
  <c r="AI31" i="2"/>
  <c r="AI30" i="2"/>
  <c r="AI29" i="2"/>
  <c r="AI27" i="2"/>
  <c r="AI26" i="2"/>
  <c r="AI25" i="2"/>
  <c r="AI24" i="2"/>
  <c r="AI23" i="2"/>
  <c r="AI22" i="2"/>
  <c r="AI15" i="2"/>
  <c r="AI11" i="2"/>
  <c r="AG61" i="2"/>
  <c r="AG60" i="2"/>
  <c r="AG59" i="2"/>
  <c r="AG58" i="2"/>
  <c r="AG55" i="2"/>
  <c r="AG54" i="2"/>
  <c r="AG53" i="2"/>
  <c r="AG52" i="2"/>
  <c r="AG51" i="2"/>
  <c r="AG50" i="2"/>
  <c r="AG47" i="2"/>
  <c r="AG48" i="2" s="1"/>
  <c r="AG44" i="2"/>
  <c r="AG43" i="2"/>
  <c r="AG42" i="2"/>
  <c r="AG38" i="2"/>
  <c r="AG33" i="2"/>
  <c r="AG32" i="2"/>
  <c r="AG31" i="2"/>
  <c r="AG30" i="2"/>
  <c r="AG29" i="2"/>
  <c r="AG27" i="2"/>
  <c r="AG26" i="2"/>
  <c r="AG25" i="2"/>
  <c r="AG24" i="2"/>
  <c r="AG23" i="2"/>
  <c r="AG22" i="2"/>
  <c r="AG15" i="2"/>
  <c r="AG11" i="2"/>
  <c r="AE61" i="2"/>
  <c r="AE60" i="2"/>
  <c r="AE59" i="2"/>
  <c r="AE58" i="2"/>
  <c r="AE55" i="2"/>
  <c r="AE54" i="2"/>
  <c r="AE53" i="2"/>
  <c r="AE52" i="2"/>
  <c r="AE51" i="2"/>
  <c r="AE50" i="2"/>
  <c r="AE47" i="2"/>
  <c r="AE48" i="2" s="1"/>
  <c r="AE44" i="2"/>
  <c r="AE43" i="2"/>
  <c r="AE42" i="2"/>
  <c r="AE33" i="2"/>
  <c r="AE32" i="2"/>
  <c r="AE31" i="2"/>
  <c r="AE30" i="2"/>
  <c r="AE27" i="2"/>
  <c r="AE26" i="2"/>
  <c r="AE25" i="2"/>
  <c r="AE24" i="2"/>
  <c r="AE23" i="2"/>
  <c r="AE22" i="2"/>
  <c r="AE15" i="2"/>
  <c r="AE11" i="2"/>
  <c r="AC61" i="2"/>
  <c r="AC60" i="2"/>
  <c r="AC59" i="2"/>
  <c r="AC58" i="2"/>
  <c r="AC55" i="2"/>
  <c r="AC54" i="2"/>
  <c r="AC53" i="2"/>
  <c r="AC52" i="2"/>
  <c r="AC51" i="2"/>
  <c r="AC50" i="2"/>
  <c r="AC47" i="2"/>
  <c r="AC48" i="2" s="1"/>
  <c r="AC44" i="2"/>
  <c r="AC43" i="2"/>
  <c r="AC42" i="2"/>
  <c r="AC38" i="2"/>
  <c r="AC23" i="2"/>
  <c r="AC24" i="2"/>
  <c r="AC25" i="2"/>
  <c r="AC26" i="2"/>
  <c r="AC27" i="2"/>
  <c r="AC30" i="2"/>
  <c r="AC31" i="2"/>
  <c r="AC32" i="2"/>
  <c r="AC33" i="2"/>
  <c r="AC15" i="2"/>
  <c r="AC11" i="2"/>
  <c r="AC22" i="2"/>
  <c r="AA61" i="2"/>
  <c r="AA60" i="2"/>
  <c r="AA59" i="2"/>
  <c r="AA58" i="2"/>
  <c r="AA55" i="2"/>
  <c r="AA54" i="2"/>
  <c r="AA53" i="2"/>
  <c r="AA52" i="2"/>
  <c r="AA51" i="2"/>
  <c r="AA50" i="2"/>
  <c r="AA47" i="2"/>
  <c r="AA48" i="2" s="1"/>
  <c r="AA44" i="2"/>
  <c r="AA43" i="2"/>
  <c r="AA42" i="2"/>
  <c r="AA38" i="2"/>
  <c r="AA33" i="2"/>
  <c r="AA32" i="2"/>
  <c r="AA31" i="2"/>
  <c r="AA30" i="2"/>
  <c r="AA27" i="2"/>
  <c r="AA26" i="2"/>
  <c r="AA25" i="2"/>
  <c r="AA24" i="2"/>
  <c r="AA23" i="2"/>
  <c r="AA22" i="2"/>
  <c r="AA15" i="2"/>
  <c r="AA11" i="2"/>
  <c r="AB62" i="2"/>
  <c r="AD62" i="2"/>
  <c r="AF62" i="2"/>
  <c r="AH62" i="2"/>
  <c r="AJ62" i="2"/>
  <c r="AL62" i="2"/>
  <c r="AN62" i="2"/>
  <c r="AB56" i="2"/>
  <c r="AD56" i="2"/>
  <c r="AF56" i="2"/>
  <c r="AH56" i="2"/>
  <c r="AJ56" i="2"/>
  <c r="AL56" i="2"/>
  <c r="AN56" i="2"/>
  <c r="AB48" i="2"/>
  <c r="AD48" i="2"/>
  <c r="AF48" i="2"/>
  <c r="AH48" i="2"/>
  <c r="AJ48" i="2"/>
  <c r="AL48" i="2"/>
  <c r="AN48" i="2"/>
  <c r="AB45" i="2"/>
  <c r="AD45" i="2"/>
  <c r="AF45" i="2"/>
  <c r="AH45" i="2"/>
  <c r="AJ45" i="2"/>
  <c r="AL45" i="2"/>
  <c r="AN45" i="2"/>
  <c r="AB34" i="2"/>
  <c r="AD34" i="2"/>
  <c r="AF34" i="2"/>
  <c r="AH34" i="2"/>
  <c r="AJ34" i="2"/>
  <c r="AL34" i="2"/>
  <c r="AN34" i="2"/>
  <c r="Z62" i="2"/>
  <c r="Z56" i="2"/>
  <c r="Z48" i="2"/>
  <c r="Z45" i="2"/>
  <c r="Z34" i="2"/>
  <c r="AB6" i="2"/>
  <c r="AB7" i="2" s="1"/>
  <c r="AB13" i="2" s="1"/>
  <c r="AC13" i="2" s="1"/>
  <c r="AD6" i="2"/>
  <c r="AD7" i="2" s="1"/>
  <c r="AD13" i="2" s="1"/>
  <c r="AD14" i="2" s="1"/>
  <c r="AD16" i="2" s="1"/>
  <c r="AD19" i="2" s="1"/>
  <c r="AD20" i="2" s="1"/>
  <c r="AF6" i="2"/>
  <c r="AF7" i="2" s="1"/>
  <c r="AF13" i="2" s="1"/>
  <c r="AF14" i="2" s="1"/>
  <c r="AF16" i="2" s="1"/>
  <c r="AF19" i="2" s="1"/>
  <c r="AF20" i="2" s="1"/>
  <c r="AH6" i="2"/>
  <c r="AH7" i="2" s="1"/>
  <c r="AH13" i="2" s="1"/>
  <c r="AH14" i="2" s="1"/>
  <c r="AH16" i="2" s="1"/>
  <c r="AH19" i="2" s="1"/>
  <c r="AH20" i="2" s="1"/>
  <c r="AJ6" i="2"/>
  <c r="AJ7" i="2" s="1"/>
  <c r="AJ13" i="2" s="1"/>
  <c r="AK13" i="2" s="1"/>
  <c r="AL6" i="2"/>
  <c r="AL7" i="2" s="1"/>
  <c r="AL13" i="2" s="1"/>
  <c r="AM13" i="2" s="1"/>
  <c r="AN6" i="2"/>
  <c r="AN7" i="2" s="1"/>
  <c r="AN13" i="2" s="1"/>
  <c r="AO13" i="2" s="1"/>
  <c r="Z6" i="2"/>
  <c r="Z7" i="2" s="1"/>
  <c r="Z13" i="2" s="1"/>
  <c r="Z14" i="2" s="1"/>
  <c r="Z16" i="2" s="1"/>
  <c r="Z19" i="2" s="1"/>
  <c r="Z20" i="2" s="1"/>
  <c r="T61" i="2"/>
  <c r="S61" i="2"/>
  <c r="R61" i="2"/>
  <c r="Q61" i="2"/>
  <c r="P61" i="2"/>
  <c r="O61" i="2"/>
  <c r="N61" i="2"/>
  <c r="M61" i="2"/>
  <c r="L61" i="2"/>
  <c r="K61" i="2"/>
  <c r="J61" i="2"/>
  <c r="I61" i="2"/>
  <c r="T60" i="2"/>
  <c r="S60" i="2"/>
  <c r="R60" i="2"/>
  <c r="Q60" i="2"/>
  <c r="P60" i="2"/>
  <c r="O60" i="2"/>
  <c r="N60" i="2"/>
  <c r="M60" i="2"/>
  <c r="L60" i="2"/>
  <c r="K60" i="2"/>
  <c r="J60" i="2"/>
  <c r="I60" i="2"/>
  <c r="T58" i="2"/>
  <c r="S58" i="2"/>
  <c r="R58" i="2"/>
  <c r="Q58" i="2"/>
  <c r="P58" i="2"/>
  <c r="O58" i="2"/>
  <c r="N58" i="2"/>
  <c r="M58" i="2"/>
  <c r="L58" i="2"/>
  <c r="K58" i="2"/>
  <c r="J58" i="2"/>
  <c r="I58" i="2"/>
  <c r="U57" i="2"/>
  <c r="T54" i="2"/>
  <c r="S54" i="2"/>
  <c r="R54" i="2"/>
  <c r="Q54" i="2"/>
  <c r="P54" i="2"/>
  <c r="O54" i="2"/>
  <c r="N54" i="2"/>
  <c r="M54" i="2"/>
  <c r="L54" i="2"/>
  <c r="K54" i="2"/>
  <c r="J54" i="2"/>
  <c r="I54" i="2"/>
  <c r="T52" i="2"/>
  <c r="S52" i="2"/>
  <c r="R52" i="2"/>
  <c r="Q52" i="2"/>
  <c r="P52" i="2"/>
  <c r="O52" i="2"/>
  <c r="N52" i="2"/>
  <c r="M52" i="2"/>
  <c r="L52" i="2"/>
  <c r="K52" i="2"/>
  <c r="J52" i="2"/>
  <c r="I52" i="2"/>
  <c r="T51" i="2"/>
  <c r="S51" i="2"/>
  <c r="R51" i="2"/>
  <c r="Q51" i="2"/>
  <c r="P51" i="2"/>
  <c r="O51" i="2"/>
  <c r="N51" i="2"/>
  <c r="M51" i="2"/>
  <c r="L51" i="2"/>
  <c r="K51" i="2"/>
  <c r="J51" i="2"/>
  <c r="I51" i="2"/>
  <c r="T50" i="2"/>
  <c r="S50" i="2"/>
  <c r="R50" i="2"/>
  <c r="Q50" i="2"/>
  <c r="P50" i="2"/>
  <c r="O50" i="2"/>
  <c r="N50" i="2"/>
  <c r="M50" i="2"/>
  <c r="L50" i="2"/>
  <c r="K50" i="2"/>
  <c r="J50" i="2"/>
  <c r="I50" i="2"/>
  <c r="U49" i="2"/>
  <c r="T47" i="2"/>
  <c r="T48" i="2" s="1"/>
  <c r="S47" i="2"/>
  <c r="S48" i="2" s="1"/>
  <c r="R47" i="2"/>
  <c r="R48" i="2" s="1"/>
  <c r="Q47" i="2"/>
  <c r="Q48" i="2" s="1"/>
  <c r="P47" i="2"/>
  <c r="P48" i="2" s="1"/>
  <c r="O47" i="2"/>
  <c r="O48" i="2" s="1"/>
  <c r="N47" i="2"/>
  <c r="N48" i="2" s="1"/>
  <c r="M47" i="2"/>
  <c r="M48" i="2" s="1"/>
  <c r="L47" i="2"/>
  <c r="L48" i="2" s="1"/>
  <c r="K47" i="2"/>
  <c r="K48" i="2" s="1"/>
  <c r="J47" i="2"/>
  <c r="J48" i="2" s="1"/>
  <c r="I47" i="2"/>
  <c r="U46" i="2"/>
  <c r="T44" i="2"/>
  <c r="S44" i="2"/>
  <c r="R44" i="2"/>
  <c r="Q44" i="2"/>
  <c r="P44" i="2"/>
  <c r="O44" i="2"/>
  <c r="N44" i="2"/>
  <c r="M44" i="2"/>
  <c r="L44" i="2"/>
  <c r="K44" i="2"/>
  <c r="J44" i="2"/>
  <c r="I44" i="2"/>
  <c r="T43" i="2"/>
  <c r="S43" i="2"/>
  <c r="Q43" i="2"/>
  <c r="O43" i="2"/>
  <c r="N43" i="2"/>
  <c r="M43" i="2"/>
  <c r="L43" i="2"/>
  <c r="K43" i="2"/>
  <c r="J43" i="2"/>
  <c r="I43" i="2"/>
  <c r="T42" i="2"/>
  <c r="S42" i="2"/>
  <c r="R42" i="2"/>
  <c r="Q42" i="2"/>
  <c r="P42" i="2"/>
  <c r="O42" i="2"/>
  <c r="N42" i="2"/>
  <c r="M42" i="2"/>
  <c r="L42" i="2"/>
  <c r="K42" i="2"/>
  <c r="J42" i="2"/>
  <c r="I42" i="2"/>
  <c r="U41" i="2"/>
  <c r="T38" i="2"/>
  <c r="S38" i="2"/>
  <c r="R38" i="2"/>
  <c r="Q38" i="2"/>
  <c r="P38" i="2"/>
  <c r="O38" i="2"/>
  <c r="N38" i="2"/>
  <c r="M38" i="2"/>
  <c r="L38" i="2"/>
  <c r="K38" i="2"/>
  <c r="J38" i="2"/>
  <c r="I38" i="2"/>
  <c r="U34" i="2"/>
  <c r="T33" i="2"/>
  <c r="S33" i="2"/>
  <c r="R33" i="2"/>
  <c r="Q33" i="2"/>
  <c r="P33" i="2"/>
  <c r="O33" i="2"/>
  <c r="N33" i="2"/>
  <c r="M33" i="2"/>
  <c r="L33" i="2"/>
  <c r="K33" i="2"/>
  <c r="J33" i="2"/>
  <c r="I33" i="2"/>
  <c r="T32" i="2"/>
  <c r="S32" i="2"/>
  <c r="R32" i="2"/>
  <c r="Q32" i="2"/>
  <c r="P32" i="2"/>
  <c r="O32" i="2"/>
  <c r="N32" i="2"/>
  <c r="M32" i="2"/>
  <c r="L32" i="2"/>
  <c r="K32" i="2"/>
  <c r="J32" i="2"/>
  <c r="I32" i="2"/>
  <c r="T26" i="2"/>
  <c r="S26" i="2"/>
  <c r="R26" i="2"/>
  <c r="Q26" i="2"/>
  <c r="P26" i="2"/>
  <c r="O26" i="2"/>
  <c r="N26" i="2"/>
  <c r="M26" i="2"/>
  <c r="L26" i="2"/>
  <c r="K26" i="2"/>
  <c r="J26" i="2"/>
  <c r="I26" i="2"/>
  <c r="T23" i="2"/>
  <c r="S23" i="2"/>
  <c r="R23" i="2"/>
  <c r="Q23" i="2"/>
  <c r="P23" i="2"/>
  <c r="O23" i="2"/>
  <c r="N23" i="2"/>
  <c r="M23" i="2"/>
  <c r="L23" i="2"/>
  <c r="K23" i="2"/>
  <c r="J23" i="2"/>
  <c r="I23" i="2"/>
  <c r="T13" i="2"/>
  <c r="T14" i="2" s="1"/>
  <c r="S13" i="2"/>
  <c r="S14" i="2" s="1"/>
  <c r="R14" i="2"/>
  <c r="Q13" i="2"/>
  <c r="Q14" i="2" s="1"/>
  <c r="P13" i="2"/>
  <c r="P14" i="2" s="1"/>
  <c r="O14" i="2"/>
  <c r="N13" i="2"/>
  <c r="N14" i="2" s="1"/>
  <c r="M13" i="2"/>
  <c r="M14" i="2" s="1"/>
  <c r="L14" i="2"/>
  <c r="K13" i="2"/>
  <c r="J13" i="2"/>
  <c r="I14" i="2"/>
  <c r="U12" i="2"/>
  <c r="J11" i="2"/>
  <c r="V11" i="2" s="1"/>
  <c r="U10" i="2"/>
  <c r="H6" i="1"/>
  <c r="F6" i="1"/>
  <c r="G6" i="1" s="1"/>
  <c r="K5" i="1"/>
  <c r="L5" i="1" s="1"/>
  <c r="F5" i="1"/>
  <c r="G5" i="1" s="1"/>
  <c r="J4" i="1"/>
  <c r="F4" i="1"/>
  <c r="G4" i="1" s="1"/>
  <c r="N62" i="2" l="1"/>
  <c r="AC14" i="2"/>
  <c r="AC16" i="2" s="1"/>
  <c r="AC19" i="2" s="1"/>
  <c r="AC20" i="2" s="1"/>
  <c r="L62" i="2"/>
  <c r="T62" i="2"/>
  <c r="M62" i="2"/>
  <c r="V44" i="2"/>
  <c r="R5" i="1"/>
  <c r="N5" i="1"/>
  <c r="O5" i="1"/>
  <c r="S5" i="1"/>
  <c r="P5" i="1"/>
  <c r="T5" i="1"/>
  <c r="U5" i="1"/>
  <c r="Q5" i="1"/>
  <c r="X5" i="1"/>
  <c r="V5" i="1"/>
  <c r="W5" i="1"/>
  <c r="Y5" i="1"/>
  <c r="V51" i="2"/>
  <c r="V54" i="2"/>
  <c r="V38" i="2"/>
  <c r="J62" i="2"/>
  <c r="V26" i="2"/>
  <c r="V33" i="2"/>
  <c r="V60" i="2"/>
  <c r="J14" i="2"/>
  <c r="J16" i="2" s="1"/>
  <c r="J19" i="2" s="1"/>
  <c r="J20" i="2" s="1"/>
  <c r="V13" i="2"/>
  <c r="U13" i="2" s="1"/>
  <c r="U14" i="2" s="1"/>
  <c r="U16" i="2" s="1"/>
  <c r="U19" i="2" s="1"/>
  <c r="U20" i="2" s="1"/>
  <c r="V50" i="2"/>
  <c r="V52" i="2"/>
  <c r="V42" i="2"/>
  <c r="V23" i="2"/>
  <c r="V32" i="2"/>
  <c r="V58" i="2"/>
  <c r="V61" i="2"/>
  <c r="V43" i="2"/>
  <c r="I48" i="2"/>
  <c r="V48" i="2" s="1"/>
  <c r="V47" i="2"/>
  <c r="K62" i="2"/>
  <c r="S62" i="2"/>
  <c r="O62" i="2"/>
  <c r="P62" i="2"/>
  <c r="I62" i="2"/>
  <c r="Q62" i="2"/>
  <c r="R62" i="2"/>
  <c r="I6" i="1"/>
  <c r="K6" i="1" s="1"/>
  <c r="L6" i="1" s="1"/>
  <c r="I4" i="1"/>
  <c r="K4" i="1" s="1"/>
  <c r="L4" i="1" s="1"/>
  <c r="AK62" i="2"/>
  <c r="AO62" i="2"/>
  <c r="AE45" i="2"/>
  <c r="Z37" i="2"/>
  <c r="AA37" i="2" s="1"/>
  <c r="AB37" i="2"/>
  <c r="AC37" i="2" s="1"/>
  <c r="AA45" i="2"/>
  <c r="L56" i="2"/>
  <c r="T56" i="2"/>
  <c r="AC56" i="2"/>
  <c r="AE13" i="2"/>
  <c r="AE14" i="2" s="1"/>
  <c r="AE16" i="2" s="1"/>
  <c r="AE19" i="2" s="1"/>
  <c r="AE20" i="2" s="1"/>
  <c r="AE62" i="2"/>
  <c r="AI62" i="2"/>
  <c r="AM14" i="2"/>
  <c r="AM16" i="2" s="1"/>
  <c r="AM19" i="2" s="1"/>
  <c r="AM20" i="2" s="1"/>
  <c r="AJ14" i="2"/>
  <c r="AJ16" i="2" s="1"/>
  <c r="AJ19" i="2" s="1"/>
  <c r="AJ20" i="2" s="1"/>
  <c r="AG45" i="2"/>
  <c r="AB14" i="2"/>
  <c r="AB16" i="2" s="1"/>
  <c r="AB19" i="2" s="1"/>
  <c r="AB20" i="2" s="1"/>
  <c r="AE56" i="2"/>
  <c r="AO45" i="2"/>
  <c r="AC45" i="2"/>
  <c r="AG13" i="2"/>
  <c r="AG14" i="2" s="1"/>
  <c r="AG16" i="2" s="1"/>
  <c r="AG19" i="2" s="1"/>
  <c r="AG20" i="2" s="1"/>
  <c r="AM34" i="2"/>
  <c r="AO34" i="2"/>
  <c r="AN14" i="2"/>
  <c r="AN16" i="2" s="1"/>
  <c r="AN19" i="2" s="1"/>
  <c r="AN20" i="2" s="1"/>
  <c r="AA13" i="2"/>
  <c r="AA14" i="2" s="1"/>
  <c r="AA16" i="2" s="1"/>
  <c r="AA19" i="2" s="1"/>
  <c r="AA20" i="2" s="1"/>
  <c r="AE34" i="2"/>
  <c r="AG56" i="2"/>
  <c r="AI56" i="2"/>
  <c r="AK56" i="2"/>
  <c r="AM62" i="2"/>
  <c r="AL14" i="2"/>
  <c r="AL16" i="2" s="1"/>
  <c r="AL19" i="2" s="1"/>
  <c r="AL20" i="2" s="1"/>
  <c r="AA56" i="2"/>
  <c r="S56" i="2"/>
  <c r="AI13" i="2"/>
  <c r="AI14" i="2" s="1"/>
  <c r="AI16" i="2" s="1"/>
  <c r="AI19" i="2" s="1"/>
  <c r="AI20" i="2" s="1"/>
  <c r="AK14" i="2"/>
  <c r="AK16" i="2" s="1"/>
  <c r="AK19" i="2" s="1"/>
  <c r="AK20" i="2" s="1"/>
  <c r="AM56" i="2"/>
  <c r="AA34" i="2"/>
  <c r="AC62" i="2"/>
  <c r="AI45" i="2"/>
  <c r="AK45" i="2"/>
  <c r="AO56" i="2"/>
  <c r="M45" i="2"/>
  <c r="AI34" i="2"/>
  <c r="AO14" i="2"/>
  <c r="AO16" i="2" s="1"/>
  <c r="AO19" i="2" s="1"/>
  <c r="AO20" i="2" s="1"/>
  <c r="AA62" i="2"/>
  <c r="AC34" i="2"/>
  <c r="AG34" i="2"/>
  <c r="AG62" i="2"/>
  <c r="AK34" i="2"/>
  <c r="AM45" i="2"/>
  <c r="J56" i="2"/>
  <c r="W38" i="2"/>
  <c r="O45" i="2"/>
  <c r="P16" i="2"/>
  <c r="P19" i="2" s="1"/>
  <c r="P20" i="2" s="1"/>
  <c r="Q45" i="2"/>
  <c r="W50" i="2"/>
  <c r="K56" i="2"/>
  <c r="W25" i="2"/>
  <c r="W30" i="2"/>
  <c r="W32" i="2"/>
  <c r="W42" i="2"/>
  <c r="N16" i="2"/>
  <c r="N19" i="2" s="1"/>
  <c r="N20" i="2" s="1"/>
  <c r="M56" i="2"/>
  <c r="U51" i="2"/>
  <c r="K45" i="2"/>
  <c r="S45" i="2"/>
  <c r="W61" i="2"/>
  <c r="L45" i="2"/>
  <c r="O56" i="2"/>
  <c r="T45" i="2"/>
  <c r="U22" i="2"/>
  <c r="W24" i="2"/>
  <c r="W31" i="2"/>
  <c r="W33" i="2"/>
  <c r="I45" i="2"/>
  <c r="W26" i="2"/>
  <c r="W60" i="2"/>
  <c r="I16" i="2"/>
  <c r="I19" i="2" s="1"/>
  <c r="Q16" i="2"/>
  <c r="Q19" i="2" s="1"/>
  <c r="Q20" i="2" s="1"/>
  <c r="L16" i="2"/>
  <c r="L19" i="2" s="1"/>
  <c r="L20" i="2" s="1"/>
  <c r="T16" i="2"/>
  <c r="T19" i="2" s="1"/>
  <c r="T20" i="2" s="1"/>
  <c r="N45" i="2"/>
  <c r="N56" i="2"/>
  <c r="W47" i="2"/>
  <c r="W48" i="2" s="1"/>
  <c r="X48" i="2" s="1"/>
  <c r="W58" i="2"/>
  <c r="W13" i="2"/>
  <c r="R16" i="2"/>
  <c r="R19" i="2" s="1"/>
  <c r="R20" i="2" s="1"/>
  <c r="U23" i="2"/>
  <c r="U25" i="2"/>
  <c r="U31" i="2"/>
  <c r="W15" i="2"/>
  <c r="W59" i="2"/>
  <c r="U38" i="2"/>
  <c r="P45" i="2"/>
  <c r="P56" i="2"/>
  <c r="W23" i="2"/>
  <c r="W51" i="2"/>
  <c r="O16" i="2"/>
  <c r="O19" i="2" s="1"/>
  <c r="O20" i="2" s="1"/>
  <c r="U44" i="2"/>
  <c r="I56" i="2"/>
  <c r="Q56" i="2"/>
  <c r="U52" i="2"/>
  <c r="U54" i="2"/>
  <c r="W52" i="2"/>
  <c r="M16" i="2"/>
  <c r="M19" i="2" s="1"/>
  <c r="M20" i="2" s="1"/>
  <c r="U32" i="2"/>
  <c r="J45" i="2"/>
  <c r="R45" i="2"/>
  <c r="R56" i="2"/>
  <c r="W53" i="2"/>
  <c r="U26" i="2"/>
  <c r="U60" i="2"/>
  <c r="U61" i="2"/>
  <c r="W22" i="2"/>
  <c r="W43" i="2"/>
  <c r="W54" i="2"/>
  <c r="U33" i="2"/>
  <c r="W11" i="2"/>
  <c r="W27" i="2"/>
  <c r="W44" i="2"/>
  <c r="W55" i="2"/>
  <c r="S16" i="2"/>
  <c r="S19" i="2" s="1"/>
  <c r="S20" i="2" s="1"/>
  <c r="K14" i="2"/>
  <c r="U42" i="2"/>
  <c r="U50" i="2"/>
  <c r="U58" i="2"/>
  <c r="U47" i="2"/>
  <c r="V14" i="2" l="1"/>
  <c r="I20" i="2"/>
  <c r="U45" i="2"/>
  <c r="U56" i="2"/>
  <c r="U48" i="2"/>
  <c r="U62" i="2"/>
  <c r="Y9" i="1"/>
  <c r="N4" i="1"/>
  <c r="N9" i="1" s="1"/>
  <c r="O4" i="1"/>
  <c r="W6" i="1"/>
  <c r="W9" i="1" s="1"/>
  <c r="O6" i="1"/>
  <c r="X6" i="1"/>
  <c r="X9" i="1" s="1"/>
  <c r="V6" i="1"/>
  <c r="Q6" i="1"/>
  <c r="Q9" i="1" s="1"/>
  <c r="Y6" i="1"/>
  <c r="P6" i="1"/>
  <c r="R6" i="1"/>
  <c r="R9" i="1" s="1"/>
  <c r="S6" i="1"/>
  <c r="S9" i="1" s="1"/>
  <c r="U6" i="1"/>
  <c r="U9" i="1" s="1"/>
  <c r="N6" i="1"/>
  <c r="T6" i="1"/>
  <c r="T9" i="1" s="1"/>
  <c r="V9" i="1"/>
  <c r="V45" i="2"/>
  <c r="V62" i="2"/>
  <c r="V56" i="2"/>
  <c r="W14" i="2"/>
  <c r="W16" i="2" s="1"/>
  <c r="W19" i="2" s="1"/>
  <c r="W20" i="2" s="1"/>
  <c r="X20" i="2" s="1"/>
  <c r="W56" i="2"/>
  <c r="X56" i="2" s="1"/>
  <c r="W45" i="2"/>
  <c r="X45" i="2" s="1"/>
  <c r="W62" i="2"/>
  <c r="X62" i="2" s="1"/>
  <c r="W34" i="2"/>
  <c r="X34" i="2" s="1"/>
  <c r="K16" i="2"/>
  <c r="K19" i="2" s="1"/>
  <c r="K20" i="2" s="1"/>
  <c r="V19" i="2" l="1"/>
  <c r="V16" i="2"/>
  <c r="T10" i="1"/>
  <c r="O39" i="2" s="1"/>
  <c r="O36" i="2"/>
  <c r="W10" i="1"/>
  <c r="R39" i="2" s="1"/>
  <c r="R36" i="2"/>
  <c r="Q10" i="1"/>
  <c r="L39" i="2" s="1"/>
  <c r="L36" i="2"/>
  <c r="L40" i="2" s="1"/>
  <c r="X10" i="1"/>
  <c r="S39" i="2" s="1"/>
  <c r="S36" i="2"/>
  <c r="S40" i="2" s="1"/>
  <c r="U10" i="1"/>
  <c r="P39" i="2" s="1"/>
  <c r="P36" i="2"/>
  <c r="P40" i="2" s="1"/>
  <c r="S10" i="1"/>
  <c r="N39" i="2" s="1"/>
  <c r="N36" i="2"/>
  <c r="N40" i="2" s="1"/>
  <c r="R10" i="1"/>
  <c r="M39" i="2" s="1"/>
  <c r="M36" i="2"/>
  <c r="M40" i="2" s="1"/>
  <c r="V10" i="1"/>
  <c r="Q39" i="2" s="1"/>
  <c r="Q36" i="2"/>
  <c r="Q40" i="2" s="1"/>
  <c r="Y10" i="1"/>
  <c r="T39" i="2" s="1"/>
  <c r="T36" i="2"/>
  <c r="I36" i="2"/>
  <c r="N10" i="1"/>
  <c r="P9" i="1"/>
  <c r="O9" i="1"/>
  <c r="R40" i="2" l="1"/>
  <c r="R64" i="2" s="1"/>
  <c r="R65" i="2" s="1"/>
  <c r="R66" i="2" s="1"/>
  <c r="O40" i="2"/>
  <c r="O64" i="2" s="1"/>
  <c r="O65" i="2" s="1"/>
  <c r="O66" i="2" s="1"/>
  <c r="T40" i="2"/>
  <c r="T64" i="2" s="1"/>
  <c r="T65" i="2" s="1"/>
  <c r="T66" i="2" s="1"/>
  <c r="P64" i="2"/>
  <c r="P65" i="2" s="1"/>
  <c r="P66" i="2" s="1"/>
  <c r="L64" i="2"/>
  <c r="L65" i="2" s="1"/>
  <c r="L66" i="2" s="1"/>
  <c r="M64" i="2"/>
  <c r="M65" i="2" s="1"/>
  <c r="M66" i="2" s="1"/>
  <c r="N64" i="2"/>
  <c r="N65" i="2" s="1"/>
  <c r="N66" i="2" s="1"/>
  <c r="Q64" i="2"/>
  <c r="Q65" i="2" s="1"/>
  <c r="Q66" i="2" s="1"/>
  <c r="S64" i="2"/>
  <c r="S65" i="2" s="1"/>
  <c r="S66" i="2" s="1"/>
  <c r="J36" i="2"/>
  <c r="O10" i="1"/>
  <c r="J39" i="2" s="1"/>
  <c r="K36" i="2"/>
  <c r="P10" i="1"/>
  <c r="K39" i="2" s="1"/>
  <c r="AA9" i="1"/>
  <c r="H36" i="2" s="1"/>
  <c r="I39" i="2"/>
  <c r="I40" i="2" s="1"/>
  <c r="V20" i="2"/>
  <c r="J40" i="2" l="1"/>
  <c r="J64" i="2" s="1"/>
  <c r="J65" i="2" s="1"/>
  <c r="J66" i="2" s="1"/>
  <c r="K40" i="2"/>
  <c r="K64" i="2" s="1"/>
  <c r="K65" i="2" s="1"/>
  <c r="I64" i="2"/>
  <c r="V36" i="2"/>
  <c r="AA10" i="1"/>
  <c r="H39" i="2" s="1"/>
  <c r="E54" i="3" s="1"/>
  <c r="E51" i="3"/>
  <c r="E56" i="3" s="1"/>
  <c r="E36" i="3" s="1"/>
  <c r="E42" i="3" s="1"/>
  <c r="U36" i="2"/>
  <c r="U39" i="2"/>
  <c r="W39" i="2"/>
  <c r="W36" i="2"/>
  <c r="H40" i="2" l="1"/>
  <c r="V40" i="2" s="1"/>
  <c r="V39" i="2"/>
  <c r="E125" i="3"/>
  <c r="W40" i="2"/>
  <c r="W64" i="2" s="1"/>
  <c r="W65" i="2" s="1"/>
  <c r="W66" i="2" s="1"/>
  <c r="I65" i="2"/>
  <c r="I66" i="2" s="1"/>
  <c r="U40" i="2"/>
  <c r="U64" i="2" s="1"/>
  <c r="U65" i="2" s="1"/>
  <c r="U66" i="2" s="1"/>
  <c r="K66" i="2"/>
  <c r="H64" i="2" l="1"/>
  <c r="V64" i="2" s="1"/>
  <c r="E128" i="3"/>
  <c r="J7" i="3"/>
  <c r="X40" i="2"/>
  <c r="X64" i="2" s="1"/>
  <c r="X65" i="2" s="1"/>
  <c r="X66" i="2" s="1"/>
  <c r="G9" i="1"/>
  <c r="H65" i="2" l="1"/>
  <c r="V65" i="2" s="1"/>
  <c r="H66" i="2"/>
  <c r="V66" i="2" s="1"/>
  <c r="Y36" i="2"/>
  <c r="Z36" i="2" s="1"/>
  <c r="M9" i="1"/>
  <c r="Y39" i="2" s="1"/>
  <c r="Z39" i="2" s="1"/>
  <c r="AB39" i="2" l="1"/>
  <c r="AA39" i="2"/>
  <c r="AA36" i="2"/>
  <c r="AB36" i="2"/>
  <c r="Z40" i="2"/>
  <c r="Z64" i="2" s="1"/>
  <c r="Z65" i="2" s="1"/>
  <c r="Z66" i="2" s="1"/>
  <c r="AC36" i="2" l="1"/>
  <c r="AD36" i="2"/>
  <c r="AB40" i="2"/>
  <c r="AB64" i="2" s="1"/>
  <c r="AB65" i="2" s="1"/>
  <c r="AB66" i="2" s="1"/>
  <c r="AA40" i="2"/>
  <c r="AA64" i="2" s="1"/>
  <c r="AA65" i="2" s="1"/>
  <c r="AA66" i="2" s="1"/>
  <c r="AC39" i="2"/>
  <c r="AD39" i="2"/>
  <c r="AE39" i="2" l="1"/>
  <c r="AF39" i="2"/>
  <c r="AD40" i="2"/>
  <c r="AD64" i="2" s="1"/>
  <c r="AD65" i="2" s="1"/>
  <c r="AD66" i="2" s="1"/>
  <c r="AE36" i="2"/>
  <c r="AF36" i="2"/>
  <c r="AC40" i="2"/>
  <c r="AC64" i="2" s="1"/>
  <c r="AC65" i="2" s="1"/>
  <c r="AC66" i="2" s="1"/>
  <c r="AE40" i="2" l="1"/>
  <c r="AE64" i="2" s="1"/>
  <c r="AE65" i="2" s="1"/>
  <c r="AE66" i="2" s="1"/>
  <c r="AH36" i="2"/>
  <c r="AF40" i="2"/>
  <c r="AF64" i="2" s="1"/>
  <c r="AF65" i="2" s="1"/>
  <c r="AF66" i="2" s="1"/>
  <c r="AG36" i="2"/>
  <c r="AG39" i="2"/>
  <c r="AH39" i="2"/>
  <c r="AG40" i="2" l="1"/>
  <c r="AG64" i="2" s="1"/>
  <c r="AG65" i="2" s="1"/>
  <c r="AG66" i="2" s="1"/>
  <c r="AI39" i="2"/>
  <c r="AJ39" i="2"/>
  <c r="AJ36" i="2"/>
  <c r="AI36" i="2"/>
  <c r="AH40" i="2"/>
  <c r="AH64" i="2" s="1"/>
  <c r="AH65" i="2" s="1"/>
  <c r="AH66" i="2" s="1"/>
  <c r="AI40" i="2" l="1"/>
  <c r="AI64" i="2" s="1"/>
  <c r="AI77" i="2" s="1"/>
  <c r="AI78" i="2" s="1"/>
  <c r="AI80" i="2" s="1"/>
  <c r="AL39" i="2"/>
  <c r="AK39" i="2"/>
  <c r="AJ40" i="2"/>
  <c r="AJ64" i="2" s="1"/>
  <c r="AJ65" i="2" s="1"/>
  <c r="AJ66" i="2" s="1"/>
  <c r="AL36" i="2"/>
  <c r="AK36" i="2"/>
  <c r="AK40" i="2" s="1"/>
  <c r="AK64" i="2" s="1"/>
  <c r="AI65" i="2" l="1"/>
  <c r="AI66" i="2" s="1"/>
  <c r="AK65" i="2"/>
  <c r="AK66" i="2" s="1"/>
  <c r="AK77" i="2"/>
  <c r="AK78" i="2" s="1"/>
  <c r="AK80" i="2" s="1"/>
  <c r="AL40" i="2"/>
  <c r="AL64" i="2" s="1"/>
  <c r="AL65" i="2" s="1"/>
  <c r="AL66" i="2" s="1"/>
  <c r="AM36" i="2"/>
  <c r="AN36" i="2"/>
  <c r="AM39" i="2"/>
  <c r="AN39" i="2"/>
  <c r="AO39" i="2" s="1"/>
  <c r="AO36" i="2" l="1"/>
  <c r="AO40" i="2" s="1"/>
  <c r="AO64" i="2" s="1"/>
  <c r="AN40" i="2"/>
  <c r="AN64" i="2" s="1"/>
  <c r="AN65" i="2" s="1"/>
  <c r="AN66" i="2" s="1"/>
  <c r="AM40" i="2"/>
  <c r="AM64" i="2" s="1"/>
  <c r="AM77" i="2" l="1"/>
  <c r="AM78" i="2" s="1"/>
  <c r="AM80" i="2" s="1"/>
  <c r="AM65" i="2"/>
  <c r="AM66" i="2" s="1"/>
  <c r="AO65" i="2"/>
  <c r="AO66" i="2" s="1"/>
  <c r="AO77" i="2"/>
  <c r="AQ77" i="2" l="1"/>
  <c r="AQ78" i="2" s="1"/>
  <c r="AQ80" i="2" s="1"/>
  <c r="AS77" i="2"/>
  <c r="AS78" i="2" s="1"/>
  <c r="AS80" i="2" s="1"/>
  <c r="AR77" i="2"/>
  <c r="AR78" i="2" s="1"/>
  <c r="AR80" i="2" s="1"/>
  <c r="AO78" i="2"/>
  <c r="AO80" i="2" s="1"/>
</calcChain>
</file>

<file path=xl/sharedStrings.xml><?xml version="1.0" encoding="utf-8"?>
<sst xmlns="http://schemas.openxmlformats.org/spreadsheetml/2006/main" count="278" uniqueCount="165">
  <si>
    <t>Current Rate</t>
  </si>
  <si>
    <t>Hrs per wk</t>
  </si>
  <si>
    <t>Extended</t>
  </si>
  <si>
    <t>Rate</t>
  </si>
  <si>
    <t>Week</t>
  </si>
  <si>
    <t>Annual</t>
  </si>
  <si>
    <t>Linda</t>
  </si>
  <si>
    <t>Amy</t>
  </si>
  <si>
    <t>Salary</t>
  </si>
  <si>
    <t>Jewish Community Foundation of Greater Mercer</t>
  </si>
  <si>
    <t xml:space="preserve">Budget Overview: Budget_FY24_P&amp;L - FY24 P&amp;L </t>
  </si>
  <si>
    <t>Total</t>
  </si>
  <si>
    <t>Revenue</t>
  </si>
  <si>
    <t xml:space="preserve">   43400 Support and Revenue</t>
  </si>
  <si>
    <t xml:space="preserve">      43410 Contributions</t>
  </si>
  <si>
    <t xml:space="preserve">      43440 Fee Income</t>
  </si>
  <si>
    <t xml:space="preserve">         43441 Fee Income from Portfolio</t>
  </si>
  <si>
    <t xml:space="preserve">      Total 43440 Fee Income</t>
  </si>
  <si>
    <t xml:space="preserve">      43450 L&amp;L HGF Grant</t>
  </si>
  <si>
    <t xml:space="preserve">   Total 43400 Support and Revenue</t>
  </si>
  <si>
    <t>Total Revenue</t>
  </si>
  <si>
    <t>Gross Profit</t>
  </si>
  <si>
    <t>Expenditures</t>
  </si>
  <si>
    <t xml:space="preserve">   60000.1 Incentive Grants</t>
  </si>
  <si>
    <t xml:space="preserve">   60000.2 JFedShaw Grinspoon Grant</t>
  </si>
  <si>
    <t xml:space="preserve">   60001 Bank Fees</t>
  </si>
  <si>
    <t xml:space="preserve">   60002 Rent</t>
  </si>
  <si>
    <t xml:space="preserve">   60003 Promotional Material</t>
  </si>
  <si>
    <t xml:space="preserve">   60008 Advertising/Promotional</t>
  </si>
  <si>
    <t xml:space="preserve">   60010 Travel</t>
  </si>
  <si>
    <t xml:space="preserve">   60020 Website</t>
  </si>
  <si>
    <t xml:space="preserve">   60040 Miscellaneous</t>
  </si>
  <si>
    <t xml:space="preserve">   60900 Payroll and Consulting Fees</t>
  </si>
  <si>
    <t xml:space="preserve">      60902 Payroll</t>
  </si>
  <si>
    <t xml:space="preserve">      60903 Payroll Processing Fees</t>
  </si>
  <si>
    <t xml:space="preserve">      60904 Payroll Tax Expense</t>
  </si>
  <si>
    <t xml:space="preserve">   Total 60900 Payroll and Consulting Fees</t>
  </si>
  <si>
    <t xml:space="preserve">   62100 Professional Fees</t>
  </si>
  <si>
    <t xml:space="preserve">      62110 Accounting Fees</t>
  </si>
  <si>
    <t xml:space="preserve">      62120 Auditor</t>
  </si>
  <si>
    <t xml:space="preserve">      62140 Legal Fees</t>
  </si>
  <si>
    <t xml:space="preserve">   Total 62100 Professional Fees</t>
  </si>
  <si>
    <t xml:space="preserve">   63000 Insurance</t>
  </si>
  <si>
    <t xml:space="preserve">      63200 Liability Insurance</t>
  </si>
  <si>
    <t xml:space="preserve">   Total 63000 Insurance</t>
  </si>
  <si>
    <t xml:space="preserve">   65000 Office Expenses</t>
  </si>
  <si>
    <t xml:space="preserve">      65010 Licenses</t>
  </si>
  <si>
    <t xml:space="preserve">      65020 Postage, Mailing Service</t>
  </si>
  <si>
    <t xml:space="preserve">      65030 Printing and Copying</t>
  </si>
  <si>
    <t xml:space="preserve">      65040 Supplies</t>
  </si>
  <si>
    <t xml:space="preserve">      65050 Membership Dues</t>
  </si>
  <si>
    <t xml:space="preserve">      65060 Tel/Communication/Internet</t>
  </si>
  <si>
    <t xml:space="preserve">   Total 65000 Office Expenses</t>
  </si>
  <si>
    <t xml:space="preserve">   68310 Conference, Convention, Meeting</t>
  </si>
  <si>
    <t xml:space="preserve">      68311 Training</t>
  </si>
  <si>
    <t xml:space="preserve">      68320 JFCGM Programs</t>
  </si>
  <si>
    <t xml:space="preserve">      68330 Board Meeting Expenses</t>
  </si>
  <si>
    <t xml:space="preserve">      68340 Conferences and Conventions</t>
  </si>
  <si>
    <t xml:space="preserve">   Total 68310 Conference, Convention, Meeting</t>
  </si>
  <si>
    <t>Total Expenditures</t>
  </si>
  <si>
    <t>Net Operating Revenue</t>
  </si>
  <si>
    <t>Net Revenue</t>
  </si>
  <si>
    <t>Fiscal</t>
  </si>
  <si>
    <t>New ED</t>
  </si>
  <si>
    <t>Average</t>
  </si>
  <si>
    <t>PR Tax</t>
  </si>
  <si>
    <t xml:space="preserve">                  Benefits</t>
  </si>
  <si>
    <t>Cost Savings?</t>
  </si>
  <si>
    <t>Variable</t>
  </si>
  <si>
    <t>Fixed</t>
  </si>
  <si>
    <t>Savings</t>
  </si>
  <si>
    <t xml:space="preserve">   60000 L&amp;L Event (potential fund raiser)</t>
  </si>
  <si>
    <t xml:space="preserve">   60009 Third Party Provider Fee</t>
  </si>
  <si>
    <t>Fee</t>
  </si>
  <si>
    <t>New fee</t>
  </si>
  <si>
    <t>Difference</t>
  </si>
  <si>
    <t>21M</t>
  </si>
  <si>
    <t>22M</t>
  </si>
  <si>
    <t>23M</t>
  </si>
  <si>
    <t>Reduction (addition in deficit)</t>
  </si>
  <si>
    <t>Total expenses</t>
  </si>
  <si>
    <t>New total expenses</t>
  </si>
  <si>
    <t>July 2024 - June 2025</t>
  </si>
  <si>
    <t>TBD</t>
  </si>
  <si>
    <t>expect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</si>
  <si>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</si>
  <si>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</si>
  <si>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</si>
  <si>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</si>
  <si>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</si>
  <si>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</si>
  <si>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</si>
  <si>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</si>
  <si>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</si>
  <si>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</si>
  <si>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</si>
  <si>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</si>
  <si>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Check</t>
  </si>
  <si>
    <t>Fiscal 2025</t>
  </si>
  <si>
    <t>Fiscal 2024</t>
  </si>
  <si>
    <t>Total Budget</t>
  </si>
  <si>
    <t>Through</t>
  </si>
  <si>
    <t xml:space="preserve">   45030 Interest</t>
  </si>
  <si>
    <t xml:space="preserve">   60004 JCC/Ewing Property</t>
  </si>
  <si>
    <t xml:space="preserve">      60901 Consultants</t>
  </si>
  <si>
    <t>Sub- Total</t>
  </si>
  <si>
    <t xml:space="preserve">   Scholarship Awards</t>
  </si>
  <si>
    <t>Payroll</t>
  </si>
  <si>
    <t>Professional Fees</t>
  </si>
  <si>
    <t>General</t>
  </si>
  <si>
    <t>Sub-Total</t>
  </si>
  <si>
    <t>Benefits?</t>
  </si>
  <si>
    <t>Mar YTD</t>
  </si>
  <si>
    <t>Actual Through</t>
  </si>
  <si>
    <t>PROPOSED</t>
  </si>
  <si>
    <t>RESERVES</t>
  </si>
  <si>
    <t>Withdrawal from Reserves</t>
  </si>
  <si>
    <t xml:space="preserve">      Withdrawal from Reserves</t>
  </si>
  <si>
    <t xml:space="preserve"> Total</t>
  </si>
  <si>
    <t>Foundation Funds</t>
  </si>
  <si>
    <t>Annual Deficit</t>
  </si>
  <si>
    <t>Years</t>
  </si>
  <si>
    <t>PROPOSED Total Budget</t>
  </si>
  <si>
    <t>General (con't)</t>
  </si>
  <si>
    <t xml:space="preserve">   60001 Bank and Credit Card Fees</t>
  </si>
  <si>
    <r>
      <t xml:space="preserve">   60000.2 J</t>
    </r>
    <r>
      <rPr>
        <b/>
        <sz val="10"/>
        <color rgb="FF000000"/>
        <rFont val="Arial"/>
        <family val="2"/>
      </rPr>
      <t>ewish Fed of West-Central NJ Grinspoon Grant</t>
    </r>
  </si>
  <si>
    <t xml:space="preserve">      62110 Outsourced Accounting Fees</t>
  </si>
  <si>
    <t>Promotion &amp; Operations</t>
  </si>
  <si>
    <t>Contributions</t>
  </si>
  <si>
    <t>Fee Income from Portfolio</t>
  </si>
  <si>
    <t>Interest</t>
  </si>
  <si>
    <t xml:space="preserve">        Sub- Total Support and Revenue</t>
  </si>
  <si>
    <t xml:space="preserve">        Withdrawal from Reserves</t>
  </si>
  <si>
    <t>Payroll and Consulting Fees</t>
  </si>
  <si>
    <t xml:space="preserve">   Consultants (NetCentrics IT Mgmt)</t>
  </si>
  <si>
    <t xml:space="preserve">   Payroll</t>
  </si>
  <si>
    <t xml:space="preserve">   Benefits</t>
  </si>
  <si>
    <t xml:space="preserve">   Payroll Processing Fees</t>
  </si>
  <si>
    <t xml:space="preserve">   Payroll Tax Expense</t>
  </si>
  <si>
    <t>Fiscal Year</t>
  </si>
  <si>
    <t>Portfolio</t>
  </si>
  <si>
    <t>Percentage</t>
  </si>
  <si>
    <t>Fiscal 2023</t>
  </si>
  <si>
    <t>Fiscal 2022</t>
  </si>
  <si>
    <t>Fiscal 2021</t>
  </si>
  <si>
    <t>Foundation</t>
  </si>
  <si>
    <t>Funds</t>
  </si>
  <si>
    <t>%</t>
  </si>
  <si>
    <t>Foundation Funds - market and income growth have sustained the Funds' value</t>
  </si>
  <si>
    <t>Trend of contributions close to or exceeding grants</t>
  </si>
  <si>
    <t>provide add'l fee income and a new fund that will generate $4,000 annually</t>
  </si>
  <si>
    <t>Promotion / Operations</t>
  </si>
  <si>
    <t>June</t>
  </si>
  <si>
    <t>April</t>
  </si>
  <si>
    <t>EstimatedThrough</t>
  </si>
  <si>
    <t>June YTD</t>
  </si>
  <si>
    <t>ESTIMATED</t>
  </si>
  <si>
    <t>Estimated</t>
  </si>
  <si>
    <t xml:space="preserve">Anticipated proceeds in the $250k - $300k range will </t>
  </si>
  <si>
    <t>COMMENTS:SUSTAINABILITY OF THE CONTINUED LEVEL OF "WITHDRAWAL FROM RESERVES"</t>
  </si>
  <si>
    <t xml:space="preserve">Fulfillment of Life and Legacy gifts </t>
  </si>
  <si>
    <r>
      <t>L&amp;L HGF Grant (</t>
    </r>
    <r>
      <rPr>
        <b/>
        <sz val="8"/>
        <color rgb="FF000000"/>
        <rFont val="Arial"/>
        <family val="2"/>
      </rPr>
      <t>includes grant for West Central)</t>
    </r>
  </si>
  <si>
    <t xml:space="preserve">        Support and Revenue</t>
  </si>
  <si>
    <t xml:space="preserve">        Total Support and Revenue</t>
  </si>
  <si>
    <t>Accepted 06.10.2024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</si>
</sst>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_(* #,##0_);_(* \(#,##0\);_(* &quot;-&quot;??_);_(@_)"/>
    <numFmt numFmtId="167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 style="thick">
        <color rgb="FF00FF00"/>
      </right>
      <top style="medium">
        <color rgb="FF00FF00"/>
      </top>
      <bottom/>
      <diagonal/>
    </border>
    <border>
      <left style="thick">
        <color rgb="FF00FF00"/>
      </left>
      <right style="thick">
        <color rgb="FF00FF00"/>
      </right>
      <top/>
      <bottom/>
      <diagonal/>
    </border>
    <border>
      <left style="thick">
        <color rgb="FF00FF00"/>
      </left>
      <right style="thick">
        <color rgb="FF00FF00"/>
      </right>
      <top/>
      <bottom style="thick">
        <color rgb="FF00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9">
    <xf numFmtId="0" fontId="0" fillId="0" borderId="0" xfId="0"/>
    <xf numFmtId="0" fontId="0" fillId="0" borderId="1" xfId="0" applyBorder="1"/>
    <xf numFmtId="9" fontId="0" fillId="0" borderId="1" xfId="2" applyFont="1" applyBorder="1"/>
    <xf numFmtId="43" fontId="0" fillId="0" borderId="0" xfId="1" applyFont="1"/>
    <xf numFmtId="43" fontId="0" fillId="2" borderId="0" xfId="1" applyFont="1" applyFill="1"/>
    <xf numFmtId="43" fontId="0" fillId="0" borderId="1" xfId="1" applyFont="1" applyBorder="1"/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43" fontId="0" fillId="0" borderId="0" xfId="0" applyNumberFormat="1"/>
    <xf numFmtId="0" fontId="4" fillId="0" borderId="0" xfId="0" applyFont="1" applyAlignment="1">
      <alignment horizontal="center" wrapText="1"/>
    </xf>
    <xf numFmtId="43" fontId="0" fillId="0" borderId="3" xfId="1" applyFont="1" applyBorder="1"/>
    <xf numFmtId="43" fontId="0" fillId="0" borderId="3" xfId="0" applyNumberFormat="1" applyBorder="1"/>
    <xf numFmtId="43" fontId="0" fillId="0" borderId="1" xfId="0" applyNumberFormat="1" applyBorder="1"/>
    <xf numFmtId="165" fontId="5" fillId="2" borderId="2" xfId="0" applyNumberFormat="1" applyFont="1" applyFill="1" applyBorder="1" applyAlignment="1">
      <alignment horizontal="right" wrapText="1"/>
    </xf>
    <xf numFmtId="9" fontId="0" fillId="0" borderId="0" xfId="2" applyFont="1"/>
    <xf numFmtId="0" fontId="0" fillId="0" borderId="4" xfId="0" applyBorder="1"/>
    <xf numFmtId="43" fontId="0" fillId="0" borderId="5" xfId="1" applyFont="1" applyBorder="1"/>
    <xf numFmtId="43" fontId="0" fillId="0" borderId="6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0" xfId="1" applyFont="1" applyBorder="1"/>
    <xf numFmtId="9" fontId="0" fillId="0" borderId="10" xfId="2" applyFont="1" applyBorder="1"/>
    <xf numFmtId="43" fontId="0" fillId="0" borderId="11" xfId="1" applyFont="1" applyBorder="1"/>
    <xf numFmtId="0" fontId="0" fillId="0" borderId="7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43" fontId="0" fillId="2" borderId="0" xfId="0" applyNumberFormat="1" applyFill="1"/>
    <xf numFmtId="166" fontId="0" fillId="0" borderId="0" xfId="1" applyNumberFormat="1" applyFont="1"/>
    <xf numFmtId="166" fontId="0" fillId="0" borderId="12" xfId="1" applyNumberFormat="1" applyFont="1" applyBorder="1"/>
    <xf numFmtId="0" fontId="0" fillId="0" borderId="12" xfId="0" applyBorder="1"/>
    <xf numFmtId="166" fontId="0" fillId="0" borderId="1" xfId="1" applyNumberFormat="1" applyFont="1" applyBorder="1"/>
    <xf numFmtId="0" fontId="9" fillId="0" borderId="0" xfId="0" applyFont="1"/>
    <xf numFmtId="43" fontId="10" fillId="0" borderId="0" xfId="1" applyFont="1" applyBorder="1"/>
    <xf numFmtId="0" fontId="0" fillId="3" borderId="0" xfId="0" applyFill="1"/>
    <xf numFmtId="0" fontId="4" fillId="3" borderId="1" xfId="0" applyFont="1" applyFill="1" applyBorder="1" applyAlignment="1">
      <alignment horizontal="center" wrapText="1"/>
    </xf>
    <xf numFmtId="164" fontId="6" fillId="3" borderId="0" xfId="0" applyNumberFormat="1" applyFont="1" applyFill="1" applyAlignment="1">
      <alignment wrapText="1"/>
    </xf>
    <xf numFmtId="164" fontId="6" fillId="3" borderId="0" xfId="0" applyNumberFormat="1" applyFont="1" applyFill="1" applyAlignment="1">
      <alignment horizontal="right" wrapText="1"/>
    </xf>
    <xf numFmtId="165" fontId="5" fillId="3" borderId="2" xfId="0" applyNumberFormat="1" applyFont="1" applyFill="1" applyBorder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43" fontId="5" fillId="0" borderId="0" xfId="1" applyFont="1" applyFill="1" applyAlignment="1">
      <alignment horizontal="left" wrapText="1"/>
    </xf>
    <xf numFmtId="43" fontId="8" fillId="0" borderId="0" xfId="1" applyFont="1" applyFill="1" applyAlignment="1">
      <alignment horizontal="left" wrapText="1"/>
    </xf>
    <xf numFmtId="43" fontId="5" fillId="0" borderId="1" xfId="1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horizontal="center" wrapText="1"/>
    </xf>
    <xf numFmtId="43" fontId="13" fillId="0" borderId="0" xfId="1" applyFont="1" applyFill="1" applyAlignment="1">
      <alignment horizontal="center"/>
    </xf>
    <xf numFmtId="0" fontId="7" fillId="0" borderId="0" xfId="0" applyFont="1"/>
    <xf numFmtId="43" fontId="5" fillId="0" borderId="0" xfId="1" applyFont="1" applyFill="1" applyAlignment="1">
      <alignment horizontal="left" vertical="top" wrapText="1"/>
    </xf>
    <xf numFmtId="43" fontId="6" fillId="0" borderId="0" xfId="1" applyFont="1" applyAlignment="1">
      <alignment horizontal="right" wrapText="1"/>
    </xf>
    <xf numFmtId="44" fontId="0" fillId="0" borderId="0" xfId="0" applyNumberFormat="1"/>
    <xf numFmtId="165" fontId="5" fillId="0" borderId="0" xfId="0" applyNumberFormat="1" applyFont="1" applyAlignment="1">
      <alignment horizontal="right" wrapText="1"/>
    </xf>
    <xf numFmtId="0" fontId="14" fillId="4" borderId="4" xfId="0" applyFont="1" applyFill="1" applyBorder="1"/>
    <xf numFmtId="0" fontId="14" fillId="4" borderId="10" xfId="0" applyFont="1" applyFill="1" applyBorder="1"/>
    <xf numFmtId="0" fontId="14" fillId="4" borderId="0" xfId="0" applyFont="1" applyFill="1"/>
    <xf numFmtId="0" fontId="14" fillId="4" borderId="11" xfId="0" applyFont="1" applyFill="1" applyBorder="1"/>
    <xf numFmtId="0" fontId="15" fillId="4" borderId="10" xfId="0" applyFont="1" applyFill="1" applyBorder="1" applyAlignment="1">
      <alignment horizontal="left" wrapText="1"/>
    </xf>
    <xf numFmtId="0" fontId="14" fillId="4" borderId="7" xfId="0" applyFont="1" applyFill="1" applyBorder="1"/>
    <xf numFmtId="0" fontId="14" fillId="0" borderId="0" xfId="0" applyFont="1"/>
    <xf numFmtId="166" fontId="14" fillId="4" borderId="0" xfId="1" applyNumberFormat="1" applyFont="1" applyFill="1" applyBorder="1"/>
    <xf numFmtId="166" fontId="14" fillId="4" borderId="11" xfId="1" applyNumberFormat="1" applyFont="1" applyFill="1" applyBorder="1"/>
    <xf numFmtId="166" fontId="14" fillId="4" borderId="8" xfId="1" applyNumberFormat="1" applyFont="1" applyFill="1" applyBorder="1"/>
    <xf numFmtId="166" fontId="14" fillId="4" borderId="9" xfId="1" applyNumberFormat="1" applyFont="1" applyFill="1" applyBorder="1"/>
    <xf numFmtId="166" fontId="14" fillId="0" borderId="0" xfId="1" applyNumberFormat="1" applyFont="1"/>
    <xf numFmtId="166" fontId="14" fillId="5" borderId="2" xfId="1" applyNumberFormat="1" applyFont="1" applyFill="1" applyBorder="1"/>
    <xf numFmtId="166" fontId="14" fillId="0" borderId="0" xfId="1" applyNumberFormat="1" applyFont="1" applyFill="1" applyBorder="1"/>
    <xf numFmtId="166" fontId="15" fillId="6" borderId="0" xfId="1" applyNumberFormat="1" applyFont="1" applyFill="1" applyBorder="1" applyAlignment="1">
      <alignment horizontal="left" wrapText="1"/>
    </xf>
    <xf numFmtId="166" fontId="15" fillId="6" borderId="2" xfId="1" applyNumberFormat="1" applyFont="1" applyFill="1" applyBorder="1" applyAlignment="1">
      <alignment horizontal="left" wrapText="1"/>
    </xf>
    <xf numFmtId="166" fontId="14" fillId="0" borderId="0" xfId="1" applyNumberFormat="1" applyFont="1" applyFill="1"/>
    <xf numFmtId="166" fontId="15" fillId="7" borderId="2" xfId="1" applyNumberFormat="1" applyFont="1" applyFill="1" applyBorder="1" applyAlignment="1">
      <alignment horizontal="right" wrapText="1"/>
    </xf>
    <xf numFmtId="166" fontId="15" fillId="7" borderId="0" xfId="1" applyNumberFormat="1" applyFont="1" applyFill="1" applyBorder="1" applyAlignment="1">
      <alignment horizontal="right" wrapText="1"/>
    </xf>
    <xf numFmtId="0" fontId="15" fillId="6" borderId="5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15" fillId="6" borderId="1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6" borderId="13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5" borderId="13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horizontal="center" wrapText="1"/>
    </xf>
    <xf numFmtId="166" fontId="15" fillId="8" borderId="0" xfId="1" applyNumberFormat="1" applyFont="1" applyFill="1" applyBorder="1" applyAlignment="1">
      <alignment horizontal="right" wrapText="1"/>
    </xf>
    <xf numFmtId="0" fontId="16" fillId="8" borderId="2" xfId="0" applyFont="1" applyFill="1" applyBorder="1"/>
    <xf numFmtId="0" fontId="0" fillId="8" borderId="4" xfId="0" applyFill="1" applyBorder="1"/>
    <xf numFmtId="0" fontId="0" fillId="8" borderId="10" xfId="0" applyFill="1" applyBorder="1"/>
    <xf numFmtId="0" fontId="15" fillId="8" borderId="11" xfId="0" applyFont="1" applyFill="1" applyBorder="1" applyAlignment="1">
      <alignment horizontal="center" wrapText="1"/>
    </xf>
    <xf numFmtId="0" fontId="15" fillId="8" borderId="10" xfId="0" applyFont="1" applyFill="1" applyBorder="1" applyAlignment="1">
      <alignment horizontal="center" wrapText="1"/>
    </xf>
    <xf numFmtId="166" fontId="15" fillId="8" borderId="11" xfId="1" applyNumberFormat="1" applyFont="1" applyFill="1" applyBorder="1" applyAlignment="1">
      <alignment horizontal="right" wrapText="1"/>
    </xf>
    <xf numFmtId="0" fontId="16" fillId="8" borderId="15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14" fillId="5" borderId="4" xfId="0" applyFont="1" applyFill="1" applyBorder="1"/>
    <xf numFmtId="0" fontId="14" fillId="5" borderId="10" xfId="0" applyFont="1" applyFill="1" applyBorder="1"/>
    <xf numFmtId="0" fontId="15" fillId="5" borderId="11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left" wrapText="1"/>
    </xf>
    <xf numFmtId="166" fontId="15" fillId="5" borderId="0" xfId="1" applyNumberFormat="1" applyFont="1" applyFill="1" applyBorder="1" applyAlignment="1">
      <alignment horizontal="left" wrapText="1"/>
    </xf>
    <xf numFmtId="166" fontId="15" fillId="5" borderId="11" xfId="1" applyNumberFormat="1" applyFont="1" applyFill="1" applyBorder="1" applyAlignment="1">
      <alignment horizontal="left" wrapText="1"/>
    </xf>
    <xf numFmtId="166" fontId="14" fillId="5" borderId="15" xfId="1" applyNumberFormat="1" applyFont="1" applyFill="1" applyBorder="1"/>
    <xf numFmtId="0" fontId="14" fillId="5" borderId="7" xfId="0" applyFont="1" applyFill="1" applyBorder="1"/>
    <xf numFmtId="166" fontId="14" fillId="5" borderId="8" xfId="1" applyNumberFormat="1" applyFont="1" applyFill="1" applyBorder="1"/>
    <xf numFmtId="166" fontId="14" fillId="5" borderId="9" xfId="1" applyNumberFormat="1" applyFont="1" applyFill="1" applyBorder="1"/>
    <xf numFmtId="0" fontId="14" fillId="6" borderId="4" xfId="0" applyFont="1" applyFill="1" applyBorder="1"/>
    <xf numFmtId="0" fontId="14" fillId="6" borderId="10" xfId="0" applyFont="1" applyFill="1" applyBorder="1"/>
    <xf numFmtId="0" fontId="15" fillId="6" borderId="10" xfId="0" applyFont="1" applyFill="1" applyBorder="1" applyAlignment="1">
      <alignment horizontal="left" wrapText="1"/>
    </xf>
    <xf numFmtId="166" fontId="15" fillId="6" borderId="11" xfId="1" applyNumberFormat="1" applyFont="1" applyFill="1" applyBorder="1" applyAlignment="1">
      <alignment horizontal="left" wrapText="1"/>
    </xf>
    <xf numFmtId="166" fontId="15" fillId="6" borderId="15" xfId="1" applyNumberFormat="1" applyFont="1" applyFill="1" applyBorder="1" applyAlignment="1">
      <alignment horizontal="left" wrapText="1"/>
    </xf>
    <xf numFmtId="0" fontId="14" fillId="6" borderId="7" xfId="0" applyFont="1" applyFill="1" applyBorder="1"/>
    <xf numFmtId="166" fontId="14" fillId="6" borderId="8" xfId="1" applyNumberFormat="1" applyFont="1" applyFill="1" applyBorder="1"/>
    <xf numFmtId="166" fontId="14" fillId="6" borderId="9" xfId="1" applyNumberFormat="1" applyFont="1" applyFill="1" applyBorder="1"/>
    <xf numFmtId="0" fontId="14" fillId="7" borderId="4" xfId="0" applyFont="1" applyFill="1" applyBorder="1"/>
    <xf numFmtId="0" fontId="14" fillId="7" borderId="10" xfId="0" applyFont="1" applyFill="1" applyBorder="1"/>
    <xf numFmtId="0" fontId="15" fillId="7" borderId="10" xfId="0" applyFont="1" applyFill="1" applyBorder="1" applyAlignment="1">
      <alignment horizontal="left" wrapText="1"/>
    </xf>
    <xf numFmtId="166" fontId="15" fillId="7" borderId="0" xfId="1" applyNumberFormat="1" applyFont="1" applyFill="1" applyBorder="1" applyAlignment="1">
      <alignment horizontal="left" wrapText="1"/>
    </xf>
    <xf numFmtId="166" fontId="15" fillId="7" borderId="11" xfId="1" applyNumberFormat="1" applyFont="1" applyFill="1" applyBorder="1" applyAlignment="1">
      <alignment horizontal="left" wrapText="1"/>
    </xf>
    <xf numFmtId="166" fontId="15" fillId="7" borderId="14" xfId="1" applyNumberFormat="1" applyFont="1" applyFill="1" applyBorder="1" applyAlignment="1">
      <alignment horizontal="left" wrapText="1"/>
    </xf>
    <xf numFmtId="166" fontId="15" fillId="7" borderId="15" xfId="1" applyNumberFormat="1" applyFont="1" applyFill="1" applyBorder="1" applyAlignment="1">
      <alignment horizontal="right" wrapText="1"/>
    </xf>
    <xf numFmtId="166" fontId="15" fillId="7" borderId="11" xfId="1" applyNumberFormat="1" applyFont="1" applyFill="1" applyBorder="1" applyAlignment="1">
      <alignment horizontal="right" wrapText="1"/>
    </xf>
    <xf numFmtId="166" fontId="15" fillId="7" borderId="8" xfId="1" applyNumberFormat="1" applyFont="1" applyFill="1" applyBorder="1" applyAlignment="1">
      <alignment horizontal="right" wrapText="1"/>
    </xf>
    <xf numFmtId="166" fontId="15" fillId="7" borderId="9" xfId="1" applyNumberFormat="1" applyFont="1" applyFill="1" applyBorder="1" applyAlignment="1">
      <alignment horizontal="right" wrapText="1"/>
    </xf>
    <xf numFmtId="0" fontId="15" fillId="5" borderId="10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17" fillId="8" borderId="10" xfId="0" applyFont="1" applyFill="1" applyBorder="1" applyAlignment="1">
      <alignment horizontal="center"/>
    </xf>
    <xf numFmtId="0" fontId="14" fillId="9" borderId="4" xfId="0" applyFont="1" applyFill="1" applyBorder="1"/>
    <xf numFmtId="0" fontId="17" fillId="9" borderId="5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14" fillId="9" borderId="10" xfId="0" applyFont="1" applyFill="1" applyBorder="1"/>
    <xf numFmtId="0" fontId="17" fillId="9" borderId="1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 wrapText="1"/>
    </xf>
    <xf numFmtId="0" fontId="17" fillId="9" borderId="0" xfId="0" applyFont="1" applyFill="1" applyAlignment="1">
      <alignment horizontal="center"/>
    </xf>
    <xf numFmtId="0" fontId="15" fillId="9" borderId="10" xfId="0" applyFont="1" applyFill="1" applyBorder="1" applyAlignment="1">
      <alignment horizontal="left" wrapText="1"/>
    </xf>
    <xf numFmtId="166" fontId="15" fillId="9" borderId="0" xfId="1" applyNumberFormat="1" applyFont="1" applyFill="1" applyBorder="1" applyAlignment="1">
      <alignment horizontal="left" wrapText="1"/>
    </xf>
    <xf numFmtId="166" fontId="15" fillId="9" borderId="11" xfId="1" applyNumberFormat="1" applyFont="1" applyFill="1" applyBorder="1" applyAlignment="1">
      <alignment horizontal="left" wrapText="1"/>
    </xf>
    <xf numFmtId="166" fontId="15" fillId="9" borderId="2" xfId="1" applyNumberFormat="1" applyFont="1" applyFill="1" applyBorder="1" applyAlignment="1">
      <alignment horizontal="left" wrapText="1"/>
    </xf>
    <xf numFmtId="166" fontId="15" fillId="9" borderId="15" xfId="1" applyNumberFormat="1" applyFont="1" applyFill="1" applyBorder="1" applyAlignment="1">
      <alignment horizontal="left" wrapText="1"/>
    </xf>
    <xf numFmtId="0" fontId="15" fillId="9" borderId="10" xfId="0" applyFont="1" applyFill="1" applyBorder="1" applyAlignment="1">
      <alignment horizontal="center" wrapText="1"/>
    </xf>
    <xf numFmtId="0" fontId="14" fillId="9" borderId="7" xfId="0" applyFont="1" applyFill="1" applyBorder="1"/>
    <xf numFmtId="166" fontId="14" fillId="9" borderId="8" xfId="1" applyNumberFormat="1" applyFont="1" applyFill="1" applyBorder="1"/>
    <xf numFmtId="166" fontId="14" fillId="9" borderId="9" xfId="1" applyNumberFormat="1" applyFont="1" applyFill="1" applyBorder="1"/>
    <xf numFmtId="0" fontId="15" fillId="7" borderId="10" xfId="0" applyFont="1" applyFill="1" applyBorder="1" applyAlignment="1">
      <alignment horizontal="center" wrapText="1"/>
    </xf>
    <xf numFmtId="166" fontId="15" fillId="7" borderId="3" xfId="1" applyNumberFormat="1" applyFont="1" applyFill="1" applyBorder="1" applyAlignment="1">
      <alignment horizontal="right" wrapText="1"/>
    </xf>
    <xf numFmtId="166" fontId="15" fillId="7" borderId="1" xfId="1" applyNumberFormat="1" applyFont="1" applyFill="1" applyBorder="1" applyAlignment="1">
      <alignment horizontal="right" wrapText="1"/>
    </xf>
    <xf numFmtId="166" fontId="15" fillId="7" borderId="14" xfId="1" applyNumberFormat="1" applyFont="1" applyFill="1" applyBorder="1" applyAlignment="1">
      <alignment horizontal="right" wrapText="1"/>
    </xf>
    <xf numFmtId="166" fontId="0" fillId="0" borderId="0" xfId="0" applyNumberFormat="1"/>
    <xf numFmtId="0" fontId="14" fillId="10" borderId="4" xfId="0" applyFont="1" applyFill="1" applyBorder="1"/>
    <xf numFmtId="0" fontId="15" fillId="10" borderId="5" xfId="0" applyFont="1" applyFill="1" applyBorder="1" applyAlignment="1">
      <alignment horizontal="center" wrapText="1"/>
    </xf>
    <xf numFmtId="0" fontId="15" fillId="10" borderId="6" xfId="0" applyFont="1" applyFill="1" applyBorder="1" applyAlignment="1">
      <alignment horizontal="center" wrapText="1"/>
    </xf>
    <xf numFmtId="0" fontId="14" fillId="10" borderId="10" xfId="0" applyFont="1" applyFill="1" applyBorder="1"/>
    <xf numFmtId="0" fontId="15" fillId="10" borderId="1" xfId="0" applyFont="1" applyFill="1" applyBorder="1" applyAlignment="1">
      <alignment horizontal="center" wrapText="1"/>
    </xf>
    <xf numFmtId="0" fontId="15" fillId="10" borderId="14" xfId="0" applyFont="1" applyFill="1" applyBorder="1" applyAlignment="1">
      <alignment horizontal="center" wrapText="1"/>
    </xf>
    <xf numFmtId="0" fontId="15" fillId="10" borderId="13" xfId="0" applyFont="1" applyFill="1" applyBorder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15" fillId="10" borderId="11" xfId="0" applyFont="1" applyFill="1" applyBorder="1" applyAlignment="1">
      <alignment horizontal="center" wrapText="1"/>
    </xf>
    <xf numFmtId="0" fontId="15" fillId="10" borderId="10" xfId="0" applyFont="1" applyFill="1" applyBorder="1" applyAlignment="1">
      <alignment horizontal="left" wrapText="1"/>
    </xf>
    <xf numFmtId="166" fontId="15" fillId="10" borderId="0" xfId="1" applyNumberFormat="1" applyFont="1" applyFill="1" applyBorder="1" applyAlignment="1">
      <alignment horizontal="left" wrapText="1"/>
    </xf>
    <xf numFmtId="166" fontId="15" fillId="10" borderId="11" xfId="1" applyNumberFormat="1" applyFont="1" applyFill="1" applyBorder="1" applyAlignment="1">
      <alignment horizontal="left" wrapText="1"/>
    </xf>
    <xf numFmtId="166" fontId="15" fillId="10" borderId="2" xfId="1" applyNumberFormat="1" applyFont="1" applyFill="1" applyBorder="1" applyAlignment="1">
      <alignment horizontal="left" wrapText="1"/>
    </xf>
    <xf numFmtId="166" fontId="15" fillId="10" borderId="15" xfId="1" applyNumberFormat="1" applyFont="1" applyFill="1" applyBorder="1" applyAlignment="1">
      <alignment horizontal="left" wrapText="1"/>
    </xf>
    <xf numFmtId="0" fontId="15" fillId="10" borderId="10" xfId="0" applyFont="1" applyFill="1" applyBorder="1" applyAlignment="1">
      <alignment horizontal="center" wrapText="1"/>
    </xf>
    <xf numFmtId="0" fontId="14" fillId="10" borderId="7" xfId="0" applyFont="1" applyFill="1" applyBorder="1"/>
    <xf numFmtId="166" fontId="14" fillId="10" borderId="8" xfId="1" applyNumberFormat="1" applyFont="1" applyFill="1" applyBorder="1"/>
    <xf numFmtId="166" fontId="14" fillId="10" borderId="9" xfId="1" applyNumberFormat="1" applyFont="1" applyFill="1" applyBorder="1"/>
    <xf numFmtId="9" fontId="14" fillId="10" borderId="8" xfId="2" applyFont="1" applyFill="1" applyBorder="1"/>
    <xf numFmtId="0" fontId="18" fillId="0" borderId="1" xfId="0" applyFont="1" applyBorder="1" applyAlignment="1">
      <alignment horizontal="center" wrapText="1"/>
    </xf>
    <xf numFmtId="43" fontId="18" fillId="0" borderId="1" xfId="1" applyFont="1" applyFill="1" applyBorder="1" applyAlignment="1">
      <alignment horizontal="center" wrapText="1"/>
    </xf>
    <xf numFmtId="166" fontId="15" fillId="7" borderId="1" xfId="1" applyNumberFormat="1" applyFont="1" applyFill="1" applyBorder="1" applyAlignment="1">
      <alignment horizontal="left" wrapText="1"/>
    </xf>
    <xf numFmtId="166" fontId="15" fillId="7" borderId="5" xfId="1" applyNumberFormat="1" applyFont="1" applyFill="1" applyBorder="1" applyAlignment="1">
      <alignment horizontal="left" wrapText="1"/>
    </xf>
    <xf numFmtId="166" fontId="15" fillId="7" borderId="6" xfId="1" applyNumberFormat="1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left" wrapText="1"/>
    </xf>
    <xf numFmtId="0" fontId="15" fillId="7" borderId="4" xfId="0" applyFont="1" applyFill="1" applyBorder="1" applyAlignment="1">
      <alignment horizontal="left" wrapText="1"/>
    </xf>
    <xf numFmtId="0" fontId="15" fillId="8" borderId="0" xfId="0" applyFont="1" applyFill="1" applyAlignment="1">
      <alignment horizontal="center" wrapText="1"/>
    </xf>
    <xf numFmtId="166" fontId="15" fillId="8" borderId="14" xfId="1" applyNumberFormat="1" applyFont="1" applyFill="1" applyBorder="1" applyAlignment="1">
      <alignment horizontal="right" wrapText="1"/>
    </xf>
    <xf numFmtId="5" fontId="17" fillId="8" borderId="12" xfId="1" applyNumberFormat="1" applyFont="1" applyFill="1" applyBorder="1"/>
    <xf numFmtId="5" fontId="17" fillId="8" borderId="16" xfId="1" applyNumberFormat="1" applyFont="1" applyFill="1" applyBorder="1"/>
    <xf numFmtId="5" fontId="15" fillId="8" borderId="0" xfId="1" applyNumberFormat="1" applyFont="1" applyFill="1" applyBorder="1" applyAlignment="1">
      <alignment horizontal="right" wrapText="1"/>
    </xf>
    <xf numFmtId="5" fontId="15" fillId="8" borderId="11" xfId="1" applyNumberFormat="1" applyFont="1" applyFill="1" applyBorder="1" applyAlignment="1">
      <alignment horizontal="right" wrapText="1"/>
    </xf>
    <xf numFmtId="5" fontId="15" fillId="4" borderId="0" xfId="1" applyNumberFormat="1" applyFont="1" applyFill="1" applyBorder="1" applyAlignment="1">
      <alignment horizontal="right" wrapText="1"/>
    </xf>
    <xf numFmtId="5" fontId="15" fillId="4" borderId="11" xfId="1" applyNumberFormat="1" applyFont="1" applyFill="1" applyBorder="1" applyAlignment="1">
      <alignment horizontal="right" wrapText="1"/>
    </xf>
    <xf numFmtId="5" fontId="15" fillId="5" borderId="0" xfId="1" applyNumberFormat="1" applyFont="1" applyFill="1" applyBorder="1" applyAlignment="1">
      <alignment horizontal="right" wrapText="1"/>
    </xf>
    <xf numFmtId="5" fontId="15" fillId="5" borderId="11" xfId="1" applyNumberFormat="1" applyFont="1" applyFill="1" applyBorder="1" applyAlignment="1">
      <alignment horizontal="right" wrapText="1"/>
    </xf>
    <xf numFmtId="5" fontId="17" fillId="5" borderId="12" xfId="1" applyNumberFormat="1" applyFont="1" applyFill="1" applyBorder="1"/>
    <xf numFmtId="5" fontId="17" fillId="5" borderId="16" xfId="1" applyNumberFormat="1" applyFont="1" applyFill="1" applyBorder="1"/>
    <xf numFmtId="5" fontId="15" fillId="6" borderId="0" xfId="1" applyNumberFormat="1" applyFont="1" applyFill="1" applyBorder="1" applyAlignment="1">
      <alignment horizontal="right" wrapText="1"/>
    </xf>
    <xf numFmtId="37" fontId="15" fillId="6" borderId="0" xfId="1" applyNumberFormat="1" applyFont="1" applyFill="1" applyBorder="1" applyAlignment="1">
      <alignment horizontal="right" wrapText="1"/>
    </xf>
    <xf numFmtId="37" fontId="15" fillId="6" borderId="11" xfId="1" applyNumberFormat="1" applyFont="1" applyFill="1" applyBorder="1" applyAlignment="1">
      <alignment horizontal="right" wrapText="1"/>
    </xf>
    <xf numFmtId="5" fontId="15" fillId="6" borderId="12" xfId="1" applyNumberFormat="1" applyFont="1" applyFill="1" applyBorder="1" applyAlignment="1">
      <alignment horizontal="right" wrapText="1"/>
    </xf>
    <xf numFmtId="5" fontId="15" fillId="6" borderId="16" xfId="1" applyNumberFormat="1" applyFont="1" applyFill="1" applyBorder="1" applyAlignment="1">
      <alignment horizontal="right" wrapText="1"/>
    </xf>
    <xf numFmtId="5" fontId="15" fillId="9" borderId="0" xfId="1" applyNumberFormat="1" applyFont="1" applyFill="1" applyBorder="1" applyAlignment="1">
      <alignment horizontal="right" wrapText="1"/>
    </xf>
    <xf numFmtId="5" fontId="15" fillId="9" borderId="11" xfId="1" applyNumberFormat="1" applyFont="1" applyFill="1" applyBorder="1" applyAlignment="1">
      <alignment horizontal="right" wrapText="1"/>
    </xf>
    <xf numFmtId="37" fontId="15" fillId="9" borderId="0" xfId="1" applyNumberFormat="1" applyFont="1" applyFill="1" applyBorder="1" applyAlignment="1">
      <alignment horizontal="right" wrapText="1"/>
    </xf>
    <xf numFmtId="37" fontId="15" fillId="9" borderId="11" xfId="1" applyNumberFormat="1" applyFont="1" applyFill="1" applyBorder="1" applyAlignment="1">
      <alignment horizontal="right" wrapText="1"/>
    </xf>
    <xf numFmtId="5" fontId="15" fillId="9" borderId="12" xfId="1" applyNumberFormat="1" applyFont="1" applyFill="1" applyBorder="1" applyAlignment="1">
      <alignment horizontal="right" wrapText="1"/>
    </xf>
    <xf numFmtId="5" fontId="15" fillId="9" borderId="16" xfId="1" applyNumberFormat="1" applyFont="1" applyFill="1" applyBorder="1" applyAlignment="1">
      <alignment horizontal="right" wrapText="1"/>
    </xf>
    <xf numFmtId="5" fontId="15" fillId="7" borderId="0" xfId="1" applyNumberFormat="1" applyFont="1" applyFill="1" applyBorder="1" applyAlignment="1">
      <alignment horizontal="right" wrapText="1"/>
    </xf>
    <xf numFmtId="5" fontId="15" fillId="7" borderId="14" xfId="1" applyNumberFormat="1" applyFont="1" applyFill="1" applyBorder="1" applyAlignment="1">
      <alignment horizontal="right" wrapText="1"/>
    </xf>
    <xf numFmtId="5" fontId="15" fillId="7" borderId="11" xfId="1" applyNumberFormat="1" applyFont="1" applyFill="1" applyBorder="1" applyAlignment="1">
      <alignment horizontal="right" wrapText="1"/>
    </xf>
    <xf numFmtId="5" fontId="15" fillId="10" borderId="0" xfId="1" applyNumberFormat="1" applyFont="1" applyFill="1" applyBorder="1" applyAlignment="1">
      <alignment horizontal="right" wrapText="1"/>
    </xf>
    <xf numFmtId="5" fontId="15" fillId="10" borderId="11" xfId="1" applyNumberFormat="1" applyFont="1" applyFill="1" applyBorder="1" applyAlignment="1">
      <alignment horizontal="right" wrapText="1"/>
    </xf>
    <xf numFmtId="5" fontId="15" fillId="10" borderId="12" xfId="1" applyNumberFormat="1" applyFont="1" applyFill="1" applyBorder="1" applyAlignment="1">
      <alignment horizontal="right" wrapText="1"/>
    </xf>
    <xf numFmtId="3" fontId="15" fillId="4" borderId="2" xfId="1" applyNumberFormat="1" applyFont="1" applyFill="1" applyBorder="1" applyAlignment="1">
      <alignment horizontal="right" wrapText="1"/>
    </xf>
    <xf numFmtId="3" fontId="15" fillId="4" borderId="15" xfId="1" applyNumberFormat="1" applyFont="1" applyFill="1" applyBorder="1" applyAlignment="1">
      <alignment horizontal="right" wrapText="1"/>
    </xf>
    <xf numFmtId="3" fontId="15" fillId="4" borderId="1" xfId="1" applyNumberFormat="1" applyFont="1" applyFill="1" applyBorder="1" applyAlignment="1">
      <alignment horizontal="right" wrapText="1"/>
    </xf>
    <xf numFmtId="3" fontId="15" fillId="4" borderId="14" xfId="1" applyNumberFormat="1" applyFont="1" applyFill="1" applyBorder="1" applyAlignment="1">
      <alignment horizontal="right" wrapText="1"/>
    </xf>
    <xf numFmtId="3" fontId="15" fillId="4" borderId="0" xfId="1" applyNumberFormat="1" applyFont="1" applyFill="1" applyBorder="1" applyAlignment="1">
      <alignment horizontal="right" wrapText="1"/>
    </xf>
    <xf numFmtId="3" fontId="15" fillId="4" borderId="11" xfId="1" applyNumberFormat="1" applyFont="1" applyFill="1" applyBorder="1" applyAlignment="1">
      <alignment horizontal="right" wrapText="1"/>
    </xf>
    <xf numFmtId="3" fontId="15" fillId="4" borderId="12" xfId="1" applyNumberFormat="1" applyFont="1" applyFill="1" applyBorder="1" applyAlignment="1">
      <alignment horizontal="right" wrapText="1"/>
    </xf>
    <xf numFmtId="3" fontId="15" fillId="4" borderId="16" xfId="1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166" fontId="15" fillId="10" borderId="10" xfId="1" applyNumberFormat="1" applyFont="1" applyFill="1" applyBorder="1" applyAlignment="1">
      <alignment horizontal="center" wrapText="1"/>
    </xf>
    <xf numFmtId="166" fontId="15" fillId="10" borderId="0" xfId="1" applyNumberFormat="1" applyFont="1" applyFill="1" applyBorder="1" applyAlignment="1">
      <alignment vertical="center" wrapText="1"/>
    </xf>
    <xf numFmtId="3" fontId="15" fillId="10" borderId="0" xfId="1" applyNumberFormat="1" applyFont="1" applyFill="1" applyBorder="1" applyAlignment="1">
      <alignment wrapText="1"/>
    </xf>
    <xf numFmtId="3" fontId="15" fillId="10" borderId="11" xfId="1" applyNumberFormat="1" applyFont="1" applyFill="1" applyBorder="1" applyAlignment="1">
      <alignment wrapText="1"/>
    </xf>
    <xf numFmtId="167" fontId="15" fillId="10" borderId="0" xfId="1" applyNumberFormat="1" applyFont="1" applyFill="1" applyBorder="1" applyAlignment="1">
      <alignment wrapText="1"/>
    </xf>
    <xf numFmtId="167" fontId="15" fillId="10" borderId="11" xfId="1" applyNumberFormat="1" applyFont="1" applyFill="1" applyBorder="1" applyAlignment="1">
      <alignment wrapText="1"/>
    </xf>
    <xf numFmtId="43" fontId="15" fillId="6" borderId="0" xfId="1" applyFont="1" applyFill="1" applyBorder="1" applyAlignment="1">
      <alignment horizontal="right" wrapText="1"/>
    </xf>
    <xf numFmtId="0" fontId="20" fillId="9" borderId="11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166" fontId="4" fillId="7" borderId="11" xfId="1" applyNumberFormat="1" applyFont="1" applyFill="1" applyBorder="1" applyAlignment="1">
      <alignment horizontal="center" wrapText="1"/>
    </xf>
    <xf numFmtId="43" fontId="15" fillId="4" borderId="1" xfId="1" applyFont="1" applyFill="1" applyBorder="1" applyAlignment="1">
      <alignment horizontal="right" wrapText="1"/>
    </xf>
    <xf numFmtId="43" fontId="15" fillId="4" borderId="14" xfId="1" applyFont="1" applyFill="1" applyBorder="1" applyAlignment="1">
      <alignment horizontal="right" wrapText="1"/>
    </xf>
    <xf numFmtId="5" fontId="15" fillId="6" borderId="0" xfId="3" applyNumberFormat="1" applyFont="1" applyFill="1" applyBorder="1" applyAlignment="1">
      <alignment horizontal="right" wrapText="1"/>
    </xf>
    <xf numFmtId="5" fontId="15" fillId="6" borderId="11" xfId="3" applyNumberFormat="1" applyFont="1" applyFill="1" applyBorder="1" applyAlignment="1">
      <alignment horizontal="right" wrapText="1"/>
    </xf>
    <xf numFmtId="0" fontId="4" fillId="10" borderId="11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166" fontId="15" fillId="0" borderId="0" xfId="1" applyNumberFormat="1" applyFont="1" applyFill="1" applyBorder="1" applyAlignment="1">
      <alignment horizontal="left" wrapText="1"/>
    </xf>
    <xf numFmtId="5" fontId="15" fillId="0" borderId="0" xfId="1" applyNumberFormat="1" applyFont="1" applyFill="1" applyBorder="1" applyAlignment="1">
      <alignment horizontal="right" wrapText="1"/>
    </xf>
    <xf numFmtId="0" fontId="13" fillId="10" borderId="10" xfId="0" applyFont="1" applyFill="1" applyBorder="1" applyAlignment="1">
      <alignment horizontal="center"/>
    </xf>
    <xf numFmtId="166" fontId="22" fillId="5" borderId="0" xfId="1" applyNumberFormat="1" applyFont="1" applyFill="1" applyBorder="1" applyAlignment="1">
      <alignment horizontal="left" wrapText="1"/>
    </xf>
    <xf numFmtId="166" fontId="22" fillId="5" borderId="11" xfId="1" applyNumberFormat="1" applyFont="1" applyFill="1" applyBorder="1" applyAlignment="1">
      <alignment horizontal="left" wrapText="1"/>
    </xf>
    <xf numFmtId="5" fontId="22" fillId="4" borderId="0" xfId="1" applyNumberFormat="1" applyFont="1" applyFill="1" applyBorder="1" applyAlignment="1">
      <alignment horizontal="right" wrapText="1"/>
    </xf>
    <xf numFmtId="5" fontId="15" fillId="10" borderId="17" xfId="1" applyNumberFormat="1" applyFont="1" applyFill="1" applyBorder="1" applyAlignment="1">
      <alignment horizontal="right" wrapText="1"/>
    </xf>
    <xf numFmtId="0" fontId="24" fillId="0" borderId="0" xfId="0" applyFont="1"/>
    <xf numFmtId="166" fontId="24" fillId="0" borderId="0" xfId="1" applyNumberFormat="1" applyFont="1" applyBorder="1"/>
    <xf numFmtId="166" fontId="24" fillId="0" borderId="0" xfId="1" applyNumberFormat="1" applyFont="1"/>
    <xf numFmtId="166" fontId="24" fillId="0" borderId="0" xfId="0" applyNumberFormat="1" applyFont="1"/>
    <xf numFmtId="0" fontId="24" fillId="0" borderId="0" xfId="0" applyFont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17" fontId="18" fillId="0" borderId="0" xfId="0" applyNumberFormat="1" applyFont="1"/>
    <xf numFmtId="166" fontId="18" fillId="0" borderId="0" xfId="1" applyNumberFormat="1" applyFont="1" applyBorder="1"/>
    <xf numFmtId="166" fontId="18" fillId="0" borderId="0" xfId="0" applyNumberFormat="1" applyFont="1"/>
    <xf numFmtId="166" fontId="18" fillId="0" borderId="0" xfId="1" applyNumberFormat="1" applyFont="1"/>
    <xf numFmtId="9" fontId="18" fillId="0" borderId="0" xfId="2" applyFont="1"/>
    <xf numFmtId="0" fontId="18" fillId="0" borderId="0" xfId="0" applyFont="1"/>
    <xf numFmtId="166" fontId="18" fillId="2" borderId="0" xfId="1" applyNumberFormat="1" applyFont="1" applyFill="1" applyBorder="1"/>
    <xf numFmtId="17" fontId="25" fillId="0" borderId="0" xfId="0" applyNumberFormat="1" applyFont="1"/>
    <xf numFmtId="166" fontId="25" fillId="0" borderId="0" xfId="1" applyNumberFormat="1" applyFont="1"/>
    <xf numFmtId="9" fontId="25" fillId="0" borderId="0" xfId="2" applyFont="1"/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3" fontId="5" fillId="0" borderId="13" xfId="1" applyFont="1" applyFill="1" applyBorder="1" applyAlignment="1">
      <alignment horizontal="left" vertical="top" wrapText="1"/>
    </xf>
    <xf numFmtId="43" fontId="5" fillId="0" borderId="22" xfId="1" applyFont="1" applyFill="1" applyBorder="1" applyAlignment="1">
      <alignment horizontal="left" wrapText="1"/>
    </xf>
    <xf numFmtId="43" fontId="5" fillId="0" borderId="23" xfId="1" applyFont="1" applyFill="1" applyBorder="1" applyAlignment="1">
      <alignment horizontal="left" wrapText="1"/>
    </xf>
    <xf numFmtId="43" fontId="8" fillId="0" borderId="13" xfId="1" applyFont="1" applyFill="1" applyBorder="1" applyAlignment="1">
      <alignment horizontal="left" wrapText="1"/>
    </xf>
    <xf numFmtId="43" fontId="5" fillId="0" borderId="22" xfId="1" applyFont="1" applyFill="1" applyBorder="1" applyAlignment="1">
      <alignment horizontal="left" vertical="top" wrapText="1"/>
    </xf>
    <xf numFmtId="43" fontId="5" fillId="0" borderId="23" xfId="1" applyFont="1" applyFill="1" applyBorder="1" applyAlignment="1">
      <alignment horizontal="left" vertical="top" wrapText="1"/>
    </xf>
    <xf numFmtId="43" fontId="8" fillId="0" borderId="22" xfId="1" applyFont="1" applyFill="1" applyBorder="1" applyAlignment="1">
      <alignment horizontal="left" wrapText="1"/>
    </xf>
    <xf numFmtId="43" fontId="8" fillId="0" borderId="23" xfId="1" applyFont="1" applyFill="1" applyBorder="1" applyAlignment="1">
      <alignment horizontal="left" wrapText="1"/>
    </xf>
    <xf numFmtId="44" fontId="5" fillId="0" borderId="0" xfId="0" applyNumberFormat="1" applyFont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166" fontId="4" fillId="7" borderId="24" xfId="1" applyNumberFormat="1" applyFont="1" applyFill="1" applyBorder="1" applyAlignment="1">
      <alignment horizontal="center" wrapText="1"/>
    </xf>
    <xf numFmtId="0" fontId="4" fillId="6" borderId="24" xfId="0" applyFont="1" applyFill="1" applyBorder="1" applyAlignment="1">
      <alignment horizontal="center" wrapText="1"/>
    </xf>
    <xf numFmtId="0" fontId="4" fillId="10" borderId="24" xfId="0" applyFont="1" applyFill="1" applyBorder="1" applyAlignment="1">
      <alignment horizontal="center" wrapText="1"/>
    </xf>
    <xf numFmtId="43" fontId="0" fillId="11" borderId="0" xfId="1" applyFont="1" applyFill="1"/>
    <xf numFmtId="12" fontId="7" fillId="11" borderId="0" xfId="1" applyNumberFormat="1" applyFont="1" applyFill="1"/>
    <xf numFmtId="43" fontId="19" fillId="11" borderId="0" xfId="1" applyFont="1" applyFill="1"/>
    <xf numFmtId="43" fontId="13" fillId="11" borderId="0" xfId="1" applyFont="1" applyFill="1" applyAlignment="1">
      <alignment horizontal="center"/>
    </xf>
    <xf numFmtId="43" fontId="18" fillId="11" borderId="1" xfId="1" applyFont="1" applyFill="1" applyBorder="1" applyAlignment="1">
      <alignment horizontal="center" wrapText="1"/>
    </xf>
    <xf numFmtId="43" fontId="5" fillId="11" borderId="0" xfId="1" applyFont="1" applyFill="1" applyAlignment="1">
      <alignment horizontal="left" wrapText="1"/>
    </xf>
    <xf numFmtId="43" fontId="5" fillId="11" borderId="1" xfId="1" applyFont="1" applyFill="1" applyBorder="1" applyAlignment="1">
      <alignment horizontal="left" wrapText="1"/>
    </xf>
    <xf numFmtId="165" fontId="5" fillId="11" borderId="2" xfId="0" applyNumberFormat="1" applyFont="1" applyFill="1" applyBorder="1" applyAlignment="1">
      <alignment horizontal="right" wrapText="1"/>
    </xf>
    <xf numFmtId="43" fontId="8" fillId="11" borderId="0" xfId="1" applyFont="1" applyFill="1" applyAlignment="1">
      <alignment horizontal="left" wrapText="1"/>
    </xf>
    <xf numFmtId="0" fontId="0" fillId="11" borderId="0" xfId="0" applyFill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  <color rgb="FF99FFCC"/>
      <color rgb="FFFF9900"/>
      <color rgb="FFFFFFCC"/>
      <color rgb="FFCCCCFF"/>
      <color rgb="FFFFCCCC"/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PP!$AK$12</c:f>
              <c:strCache>
                <c:ptCount val="1"/>
                <c:pt idx="0">
                  <c:v>Portfolio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34925">
              <a:solidFill>
                <a:srgbClr val="00B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PP!$AJ$13:$AJ$24</c:f>
              <c:strCache>
                <c:ptCount val="12"/>
                <c:pt idx="0">
                  <c:v>Mar-24</c:v>
                </c:pt>
                <c:pt idx="1">
                  <c:v>Feb-24</c:v>
                </c:pt>
                <c:pt idx="2">
                  <c:v>Jan-24</c:v>
                </c:pt>
                <c:pt idx="3">
                  <c:v>Dec-23</c:v>
                </c:pt>
                <c:pt idx="4">
                  <c:v>Nov-23</c:v>
                </c:pt>
                <c:pt idx="5">
                  <c:v>Oct-23</c:v>
                </c:pt>
                <c:pt idx="6">
                  <c:v>Sep-23</c:v>
                </c:pt>
                <c:pt idx="7">
                  <c:v>Aug-23</c:v>
                </c:pt>
                <c:pt idx="8">
                  <c:v>Jul-23</c:v>
                </c:pt>
                <c:pt idx="9">
                  <c:v>Fiscal 2023</c:v>
                </c:pt>
                <c:pt idx="10">
                  <c:v>Fiscal 2022</c:v>
                </c:pt>
                <c:pt idx="11">
                  <c:v>Fiscal 2021</c:v>
                </c:pt>
              </c:strCache>
            </c:strRef>
          </c:cat>
          <c:val>
            <c:numRef>
              <c:f>PP!$AK$13:$AK$24</c:f>
              <c:numCache>
                <c:formatCode>_(* #,##0_);_(* \(#,##0\);_(* "-"??_);_(@_)</c:formatCode>
                <c:ptCount val="12"/>
                <c:pt idx="0">
                  <c:v>17355.183000000001</c:v>
                </c:pt>
                <c:pt idx="1">
                  <c:v>16998.017</c:v>
                </c:pt>
                <c:pt idx="2">
                  <c:v>16641.348000000002</c:v>
                </c:pt>
                <c:pt idx="3">
                  <c:v>16661.105</c:v>
                </c:pt>
                <c:pt idx="4">
                  <c:v>15468.216</c:v>
                </c:pt>
                <c:pt idx="5">
                  <c:v>14054.63</c:v>
                </c:pt>
                <c:pt idx="6">
                  <c:v>14147.638999999999</c:v>
                </c:pt>
                <c:pt idx="7">
                  <c:v>14636.584000000001</c:v>
                </c:pt>
                <c:pt idx="8">
                  <c:v>15208.277</c:v>
                </c:pt>
                <c:pt idx="9">
                  <c:v>14785.968000000001</c:v>
                </c:pt>
                <c:pt idx="10">
                  <c:v>13411.8902</c:v>
                </c:pt>
                <c:pt idx="11">
                  <c:v>15171.28104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9-4A02-B309-9D60D04D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7281944"/>
        <c:axId val="1227286264"/>
      </c:barChart>
      <c:lineChart>
        <c:grouping val="standard"/>
        <c:varyColors val="0"/>
        <c:ser>
          <c:idx val="1"/>
          <c:order val="1"/>
          <c:tx>
            <c:strRef>
              <c:f>PP!$AL$11:$AL$12</c:f>
              <c:strCache>
                <c:ptCount val="2"/>
                <c:pt idx="0">
                  <c:v>Foundation</c:v>
                </c:pt>
                <c:pt idx="1">
                  <c:v>Funds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PP!$AJ$13:$AJ$24</c:f>
              <c:strCache>
                <c:ptCount val="12"/>
                <c:pt idx="0">
                  <c:v>Mar-24</c:v>
                </c:pt>
                <c:pt idx="1">
                  <c:v>Feb-24</c:v>
                </c:pt>
                <c:pt idx="2">
                  <c:v>Jan-24</c:v>
                </c:pt>
                <c:pt idx="3">
                  <c:v>Dec-23</c:v>
                </c:pt>
                <c:pt idx="4">
                  <c:v>Nov-23</c:v>
                </c:pt>
                <c:pt idx="5">
                  <c:v>Oct-23</c:v>
                </c:pt>
                <c:pt idx="6">
                  <c:v>Sep-23</c:v>
                </c:pt>
                <c:pt idx="7">
                  <c:v>Aug-23</c:v>
                </c:pt>
                <c:pt idx="8">
                  <c:v>Jul-23</c:v>
                </c:pt>
                <c:pt idx="9">
                  <c:v>Fiscal 2023</c:v>
                </c:pt>
                <c:pt idx="10">
                  <c:v>Fiscal 2022</c:v>
                </c:pt>
                <c:pt idx="11">
                  <c:v>Fiscal 2021</c:v>
                </c:pt>
              </c:strCache>
            </c:strRef>
          </c:cat>
          <c:val>
            <c:numRef>
              <c:f>PP!$AL$13:$AL$24</c:f>
              <c:numCache>
                <c:formatCode>_(* #,##0_);_(* \(#,##0\);_(* "-"??_);_(@_)</c:formatCode>
                <c:ptCount val="12"/>
                <c:pt idx="0">
                  <c:v>344.05500000000001</c:v>
                </c:pt>
                <c:pt idx="1">
                  <c:v>327.14699999999999</c:v>
                </c:pt>
                <c:pt idx="2">
                  <c:v>318.61399999999998</c:v>
                </c:pt>
                <c:pt idx="3">
                  <c:v>319.327</c:v>
                </c:pt>
                <c:pt idx="4">
                  <c:v>326.30700000000002</c:v>
                </c:pt>
                <c:pt idx="5">
                  <c:v>304.07499999999999</c:v>
                </c:pt>
                <c:pt idx="6">
                  <c:v>312.024</c:v>
                </c:pt>
                <c:pt idx="7">
                  <c:v>331.15499999999997</c:v>
                </c:pt>
                <c:pt idx="8">
                  <c:v>336.565</c:v>
                </c:pt>
                <c:pt idx="9">
                  <c:v>328.12</c:v>
                </c:pt>
                <c:pt idx="10">
                  <c:v>394.25602000000003</c:v>
                </c:pt>
                <c:pt idx="11">
                  <c:v>492.00277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9-4A02-B309-9D60D04D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04000"/>
        <c:axId val="610703280"/>
      </c:lineChart>
      <c:catAx>
        <c:axId val="122728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286264"/>
        <c:crosses val="autoZero"/>
        <c:auto val="1"/>
        <c:lblAlgn val="ctr"/>
        <c:lblOffset val="100"/>
        <c:noMultiLvlLbl val="0"/>
      </c:catAx>
      <c:valAx>
        <c:axId val="122728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281944"/>
        <c:crosses val="autoZero"/>
        <c:crossBetween val="between"/>
      </c:valAx>
      <c:valAx>
        <c:axId val="610703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704000"/>
        <c:crosses val="max"/>
        <c:crossBetween val="between"/>
      </c:valAx>
      <c:catAx>
        <c:axId val="61070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70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44379816619645"/>
          <c:y val="0.9148183431104262"/>
          <c:w val="0.41691541089041212"/>
          <c:h val="6.2839042574995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450272</xdr:colOff>
      <xdr:row>10</xdr:row>
      <xdr:rowOff>112568</xdr:rowOff>
    </xdr:from>
    <xdr:to>
      <xdr:col>48</xdr:col>
      <xdr:colOff>58304</xdr:colOff>
      <xdr:row>24</xdr:row>
      <xdr:rowOff>180682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4394D-9A4C-4CC7-A6E4-1D1AD57B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0.06845</cdr:x>
      <cdr:y>0.03013</cdr:y>
    </cdr:from>
    <cdr:to>
      <cdr:x>0.12663</cdr:x>
      <cdr:y>0.12153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10E25B-0A04-0F3C-E632-7F4B8B150253}"/>
            </a:ext>
          </a:extLst>
        </cdr:cNvPr>
        <cdr:cNvSpPr txBox="1"/>
      </cdr:nvSpPr>
      <cdr:spPr>
        <a:xfrm xmlns:a="http://schemas.openxmlformats.org/drawingml/2006/main">
          <a:off x="346364" y="102750"/>
          <a:ext cx="294409" cy="311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9B-E77C-488D-85D0-6A2C48C87097}">
  <dimension ref="C1:AA15"/>
  <sheetViews>
    <sheetView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 x14ac:dyDescent="0.25"/>
  <cols>
    <col min="4" max="4" width="14.140625" customWidth="1"/>
    <col min="6" max="6" width="9.5703125" bestFit="1" customWidth="1"/>
    <col min="7" max="7" width="14.42578125" customWidth="1"/>
    <col min="8" max="8" width="10.5703125" bestFit="1" customWidth="1"/>
    <col min="11" max="11" width="11.5703125" bestFit="1" customWidth="1"/>
    <col min="12" max="12" width="15.28515625" bestFit="1" customWidth="1"/>
    <col min="13" max="25" width="10.5703125" bestFit="1" customWidth="1"/>
    <col min="26" max="27" width="11.7109375" bestFit="1" customWidth="1"/>
  </cols>
  <sheetData>
    <row r="1" spans="3:27" x14ac:dyDescent="0.25">
      <c r="C1" t="s">
        <v>8</v>
      </c>
      <c r="D1" t="s">
        <v>62</v>
      </c>
    </row>
    <row r="2" spans="3:27" x14ac:dyDescent="0.25">
      <c r="M2" s="27" t="s">
        <v>65</v>
      </c>
      <c r="Q2">
        <f>25+20+15+10</f>
        <v>70</v>
      </c>
      <c r="R2">
        <v>30</v>
      </c>
    </row>
    <row r="3" spans="3:27" x14ac:dyDescent="0.25">
      <c r="D3" s="1" t="s">
        <v>0</v>
      </c>
      <c r="E3" s="1" t="s">
        <v>1</v>
      </c>
      <c r="F3" s="1" t="s">
        <v>2</v>
      </c>
      <c r="G3" s="1">
        <v>48</v>
      </c>
      <c r="H3" s="2">
        <v>0.05</v>
      </c>
      <c r="I3" s="1" t="s">
        <v>3</v>
      </c>
      <c r="J3" s="1" t="s">
        <v>1</v>
      </c>
      <c r="K3" s="1" t="s">
        <v>4</v>
      </c>
      <c r="L3" s="1" t="s">
        <v>5</v>
      </c>
      <c r="M3" s="16">
        <v>0.1</v>
      </c>
      <c r="N3" t="s">
        <v>85</v>
      </c>
      <c r="O3" t="s">
        <v>86</v>
      </c>
      <c r="P3" t="s">
        <v>87</v>
      </c>
      <c r="Q3" t="s">
        <v>88</v>
      </c>
      <c r="R3" t="s">
        <v>89</v>
      </c>
      <c r="S3" t="s">
        <v>90</v>
      </c>
      <c r="T3" t="s">
        <v>91</v>
      </c>
      <c r="U3" t="s">
        <v>92</v>
      </c>
      <c r="V3" t="s">
        <v>93</v>
      </c>
      <c r="W3" t="s">
        <v>94</v>
      </c>
      <c r="X3" t="s">
        <v>95</v>
      </c>
      <c r="Y3" t="s">
        <v>96</v>
      </c>
    </row>
    <row r="4" spans="3:27" x14ac:dyDescent="0.25">
      <c r="C4" t="s">
        <v>6</v>
      </c>
      <c r="D4" s="3">
        <v>53.045000000000002</v>
      </c>
      <c r="E4" s="3">
        <v>25</v>
      </c>
      <c r="F4" s="3">
        <f>+D4*E4</f>
        <v>1326.125</v>
      </c>
      <c r="G4" s="3">
        <f>+F4*G3</f>
        <v>63654</v>
      </c>
      <c r="H4" s="3"/>
      <c r="I4" s="3">
        <f>+H4+D4</f>
        <v>53.045000000000002</v>
      </c>
      <c r="J4" s="3">
        <f>+E4</f>
        <v>25</v>
      </c>
      <c r="K4" s="3">
        <f>+I4*J4</f>
        <v>1326.125</v>
      </c>
      <c r="L4" s="3">
        <f>+K4*$G$3</f>
        <v>63654</v>
      </c>
      <c r="N4" s="3">
        <f>+$L$4/12</f>
        <v>5304.5</v>
      </c>
      <c r="O4" s="3">
        <f>+$L$4/12</f>
        <v>5304.5</v>
      </c>
      <c r="P4" s="3">
        <f>+$L$4/12</f>
        <v>5304.5</v>
      </c>
      <c r="Q4" s="3">
        <f>+$L$4/12*0.7</f>
        <v>3713.1499999999996</v>
      </c>
      <c r="R4" s="3">
        <f>+$L$4/12*0.3</f>
        <v>1591.35</v>
      </c>
    </row>
    <row r="5" spans="3:27" x14ac:dyDescent="0.25">
      <c r="C5" t="s">
        <v>83</v>
      </c>
      <c r="D5" s="3">
        <v>25</v>
      </c>
      <c r="E5" s="3">
        <v>22</v>
      </c>
      <c r="F5" s="3">
        <f t="shared" ref="F5:F6" si="0">+D5*E5</f>
        <v>550</v>
      </c>
      <c r="G5" s="3">
        <f>+F5*G3</f>
        <v>26400</v>
      </c>
      <c r="H5" s="4"/>
      <c r="I5" s="3">
        <f t="shared" ref="I5:I6" si="1">+H5+D5</f>
        <v>25</v>
      </c>
      <c r="J5" s="3">
        <v>20</v>
      </c>
      <c r="K5" s="3">
        <f t="shared" ref="K5:K7" si="2">+I5*J5</f>
        <v>500</v>
      </c>
      <c r="L5" s="3">
        <f t="shared" ref="L5:L6" si="3">+K5*$G$3</f>
        <v>24000</v>
      </c>
      <c r="N5" s="3">
        <f>+$L$5/12/2</f>
        <v>1000</v>
      </c>
      <c r="O5" s="3">
        <f>+$L$5/12/2</f>
        <v>1000</v>
      </c>
      <c r="P5" s="3">
        <f>+$L$5/12</f>
        <v>2000</v>
      </c>
      <c r="Q5" s="3">
        <f>+$L$5/12</f>
        <v>2000</v>
      </c>
      <c r="R5" s="3">
        <f t="shared" ref="R5:Y5" si="4">+$L$5/12</f>
        <v>2000</v>
      </c>
      <c r="S5" s="3">
        <f t="shared" si="4"/>
        <v>2000</v>
      </c>
      <c r="T5" s="3">
        <f t="shared" si="4"/>
        <v>2000</v>
      </c>
      <c r="U5" s="3">
        <f t="shared" si="4"/>
        <v>2000</v>
      </c>
      <c r="V5" s="3">
        <f t="shared" si="4"/>
        <v>2000</v>
      </c>
      <c r="W5" s="3">
        <f t="shared" si="4"/>
        <v>2000</v>
      </c>
      <c r="X5" s="3">
        <f t="shared" si="4"/>
        <v>2000</v>
      </c>
      <c r="Y5" s="3">
        <f t="shared" si="4"/>
        <v>2000</v>
      </c>
    </row>
    <row r="6" spans="3:27" x14ac:dyDescent="0.25">
      <c r="C6" t="s">
        <v>7</v>
      </c>
      <c r="D6" s="22">
        <v>42.436</v>
      </c>
      <c r="E6" s="22">
        <v>25</v>
      </c>
      <c r="F6" s="22">
        <f t="shared" si="0"/>
        <v>1060.9000000000001</v>
      </c>
      <c r="G6" s="22">
        <f>+F6*G3</f>
        <v>50923.200000000004</v>
      </c>
      <c r="H6" s="22">
        <f>+D6*H3</f>
        <v>2.1217999999999999</v>
      </c>
      <c r="I6" s="22">
        <f t="shared" si="1"/>
        <v>44.5578</v>
      </c>
      <c r="J6" s="22">
        <v>25</v>
      </c>
      <c r="K6" s="22">
        <f t="shared" si="2"/>
        <v>1113.9449999999999</v>
      </c>
      <c r="L6" s="22">
        <f t="shared" si="3"/>
        <v>53469.36</v>
      </c>
      <c r="N6" s="3">
        <f>+$L$6/12</f>
        <v>4455.78</v>
      </c>
      <c r="O6" s="3">
        <f>+$L$6/12</f>
        <v>4455.78</v>
      </c>
      <c r="P6" s="3">
        <f>+$L$6/12</f>
        <v>4455.78</v>
      </c>
      <c r="Q6" s="3">
        <f t="shared" ref="Q6:Y6" si="5">+$L$6/12</f>
        <v>4455.78</v>
      </c>
      <c r="R6" s="3">
        <f t="shared" si="5"/>
        <v>4455.78</v>
      </c>
      <c r="S6" s="3">
        <f t="shared" si="5"/>
        <v>4455.78</v>
      </c>
      <c r="T6" s="3">
        <f t="shared" si="5"/>
        <v>4455.78</v>
      </c>
      <c r="U6" s="3">
        <f t="shared" si="5"/>
        <v>4455.78</v>
      </c>
      <c r="V6" s="3">
        <f t="shared" si="5"/>
        <v>4455.78</v>
      </c>
      <c r="W6" s="3">
        <f t="shared" si="5"/>
        <v>4455.78</v>
      </c>
      <c r="X6" s="3">
        <f t="shared" si="5"/>
        <v>4455.78</v>
      </c>
      <c r="Y6" s="3">
        <f t="shared" si="5"/>
        <v>4455.78</v>
      </c>
    </row>
    <row r="7" spans="3:27" x14ac:dyDescent="0.25">
      <c r="C7" t="s">
        <v>63</v>
      </c>
      <c r="D7" s="3"/>
      <c r="E7" s="3"/>
      <c r="F7" s="3"/>
      <c r="H7" s="3"/>
      <c r="I7" s="3"/>
      <c r="J7" s="3"/>
      <c r="K7" s="22">
        <f t="shared" si="2"/>
        <v>0</v>
      </c>
      <c r="L7" s="22">
        <v>80000</v>
      </c>
      <c r="P7" s="3"/>
      <c r="Q7" s="3">
        <f t="shared" ref="Q7:Y7" si="6">+$L$7/12</f>
        <v>6666.666666666667</v>
      </c>
      <c r="R7" s="3">
        <f t="shared" si="6"/>
        <v>6666.666666666667</v>
      </c>
      <c r="S7" s="3">
        <f t="shared" si="6"/>
        <v>6666.666666666667</v>
      </c>
      <c r="T7" s="3">
        <f t="shared" si="6"/>
        <v>6666.666666666667</v>
      </c>
      <c r="U7" s="3">
        <f t="shared" si="6"/>
        <v>6666.666666666667</v>
      </c>
      <c r="V7" s="3">
        <f t="shared" si="6"/>
        <v>6666.666666666667</v>
      </c>
      <c r="W7" s="3">
        <f t="shared" si="6"/>
        <v>6666.666666666667</v>
      </c>
      <c r="X7" s="3">
        <f t="shared" si="6"/>
        <v>6666.666666666667</v>
      </c>
      <c r="Y7" s="3">
        <f t="shared" si="6"/>
        <v>6666.666666666667</v>
      </c>
    </row>
    <row r="8" spans="3:27" x14ac:dyDescent="0.25">
      <c r="D8" s="3"/>
      <c r="E8" s="3"/>
      <c r="F8" s="3"/>
      <c r="H8" s="3"/>
      <c r="I8" s="3"/>
      <c r="J8" s="3"/>
      <c r="K8" s="3"/>
      <c r="L8" s="10"/>
    </row>
    <row r="9" spans="3:27" x14ac:dyDescent="0.25">
      <c r="G9" s="3">
        <f>SUM(G4:G6)</f>
        <v>140977.20000000001</v>
      </c>
      <c r="L9" s="3"/>
      <c r="M9" s="3">
        <f>+L9*$M$3</f>
        <v>0</v>
      </c>
      <c r="N9" s="10">
        <f>SUM(N4:N8)</f>
        <v>10760.279999999999</v>
      </c>
      <c r="O9" s="10">
        <f t="shared" ref="O9:Y9" si="7">SUM(O4:O8)</f>
        <v>10760.279999999999</v>
      </c>
      <c r="P9" s="10">
        <f t="shared" si="7"/>
        <v>11760.279999999999</v>
      </c>
      <c r="Q9" s="10">
        <f t="shared" si="7"/>
        <v>16835.596666666668</v>
      </c>
      <c r="R9" s="10">
        <f t="shared" si="7"/>
        <v>14713.796666666665</v>
      </c>
      <c r="S9" s="10">
        <f t="shared" si="7"/>
        <v>13122.446666666667</v>
      </c>
      <c r="T9" s="10">
        <f t="shared" si="7"/>
        <v>13122.446666666667</v>
      </c>
      <c r="U9" s="10">
        <f t="shared" si="7"/>
        <v>13122.446666666667</v>
      </c>
      <c r="V9" s="10">
        <f t="shared" si="7"/>
        <v>13122.446666666667</v>
      </c>
      <c r="W9" s="10">
        <f t="shared" si="7"/>
        <v>13122.446666666667</v>
      </c>
      <c r="X9" s="10">
        <f t="shared" si="7"/>
        <v>13122.446666666667</v>
      </c>
      <c r="Y9" s="10">
        <f t="shared" si="7"/>
        <v>13122.446666666667</v>
      </c>
      <c r="Z9" s="10"/>
      <c r="AA9" s="10">
        <f>SUM(N9:Z9)</f>
        <v>156687.35999999999</v>
      </c>
    </row>
    <row r="10" spans="3:27" x14ac:dyDescent="0.25">
      <c r="G10" s="3"/>
      <c r="N10" s="3">
        <f>+N9*$M$3</f>
        <v>1076.028</v>
      </c>
      <c r="O10" s="3">
        <f t="shared" ref="O10:Y10" si="8">+O9*$M$3</f>
        <v>1076.028</v>
      </c>
      <c r="P10" s="3">
        <f t="shared" si="8"/>
        <v>1176.028</v>
      </c>
      <c r="Q10" s="3">
        <f t="shared" si="8"/>
        <v>1683.559666666667</v>
      </c>
      <c r="R10" s="3">
        <f t="shared" si="8"/>
        <v>1471.3796666666667</v>
      </c>
      <c r="S10" s="3">
        <f t="shared" si="8"/>
        <v>1312.2446666666667</v>
      </c>
      <c r="T10" s="3">
        <f t="shared" si="8"/>
        <v>1312.2446666666667</v>
      </c>
      <c r="U10" s="3">
        <f t="shared" si="8"/>
        <v>1312.2446666666667</v>
      </c>
      <c r="V10" s="3">
        <f t="shared" si="8"/>
        <v>1312.2446666666667</v>
      </c>
      <c r="W10" s="3">
        <f t="shared" si="8"/>
        <v>1312.2446666666667</v>
      </c>
      <c r="X10" s="3">
        <f t="shared" si="8"/>
        <v>1312.2446666666667</v>
      </c>
      <c r="Y10" s="3">
        <f t="shared" si="8"/>
        <v>1312.2446666666667</v>
      </c>
      <c r="AA10" s="10">
        <f>SUM(N10:Z10)</f>
        <v>15668.736000000004</v>
      </c>
    </row>
    <row r="11" spans="3:27" x14ac:dyDescent="0.25">
      <c r="C11" t="s">
        <v>111</v>
      </c>
      <c r="G11" s="3"/>
      <c r="AA11">
        <v>9000</v>
      </c>
    </row>
    <row r="12" spans="3:27" x14ac:dyDescent="0.25">
      <c r="G12" s="3"/>
      <c r="AA12" s="10">
        <f>SUM(AA9:AA11)</f>
        <v>181356.09599999999</v>
      </c>
    </row>
    <row r="13" spans="3:27" x14ac:dyDescent="0.25">
      <c r="G13" s="3"/>
      <c r="Y13">
        <f>1800*4</f>
        <v>7200</v>
      </c>
    </row>
    <row r="14" spans="3:27" x14ac:dyDescent="0.25">
      <c r="Y14">
        <f>24000+Y13+6000</f>
        <v>37200</v>
      </c>
    </row>
    <row r="15" spans="3:27" x14ac:dyDescent="0.25">
      <c r="L15" t="s">
        <v>115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B419-CF0C-4A1B-859E-3D5185E1EDE9}">
  <dimension ref="A1:AS82"/>
  <sheetViews>
    <sheetView tabSelected="1" topLeftCell="A3" zoomScale="120" zoomScaleNormal="120" workbookViewId="0">
      <pane xSplit="1" ySplit="6" topLeftCell="G14" activePane="bottomRight" state="frozen"/>
      <selection activeCell="A3" sqref="A3"/>
      <selection pane="topRight" activeCell="B3" sqref="B3"/>
      <selection pane="bottomLeft" activeCell="A9" sqref="A9"/>
      <selection pane="bottomRight" activeCell="H18" sqref="H18"/>
    </sheetView>
  </sheetViews>
  <sheetFormatPr defaultRowHeight="15" x14ac:dyDescent="0.25"/>
  <cols>
    <col min="1" max="1" width="40.42578125" customWidth="1"/>
    <col min="2" max="6" width="16.42578125" customWidth="1"/>
    <col min="7" max="7" width="13.85546875" customWidth="1"/>
    <col min="8" max="8" width="14" style="286" customWidth="1"/>
    <col min="9" max="9" width="12.5703125" customWidth="1"/>
    <col min="10" max="10" width="12.140625" customWidth="1"/>
    <col min="11" max="12" width="12.5703125" customWidth="1"/>
    <col min="13" max="13" width="13.140625" customWidth="1"/>
    <col min="14" max="14" width="12.85546875" customWidth="1"/>
    <col min="15" max="15" width="12.5703125" customWidth="1"/>
    <col min="16" max="17" width="12.85546875" customWidth="1"/>
    <col min="18" max="18" width="12.5703125" customWidth="1"/>
    <col min="19" max="19" width="12.85546875" customWidth="1"/>
    <col min="20" max="20" width="13.140625" customWidth="1"/>
    <col min="21" max="21" width="13.5703125" style="35" hidden="1" customWidth="1"/>
    <col min="22" max="22" width="12.28515625" bestFit="1" customWidth="1"/>
    <col min="23" max="23" width="17.42578125" hidden="1" customWidth="1"/>
    <col min="24" max="24" width="14.28515625" style="3" hidden="1" customWidth="1"/>
    <col min="25" max="25" width="14.28515625" hidden="1" customWidth="1"/>
    <col min="26" max="33" width="15" hidden="1" customWidth="1"/>
    <col min="34" max="34" width="19.5703125" hidden="1" customWidth="1"/>
    <col min="35" max="40" width="15" hidden="1" customWidth="1"/>
    <col min="41" max="41" width="12.28515625" hidden="1" customWidth="1"/>
    <col min="42" max="45" width="0" hidden="1" customWidth="1"/>
  </cols>
  <sheetData>
    <row r="1" spans="1:41" ht="18" x14ac:dyDescent="0.25">
      <c r="A1" s="296" t="s">
        <v>9</v>
      </c>
      <c r="B1" s="296"/>
      <c r="C1" s="296"/>
      <c r="D1" s="296"/>
      <c r="E1" s="296"/>
      <c r="F1" s="296"/>
      <c r="G1" s="296"/>
      <c r="H1" s="296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AG1">
        <v>4.04</v>
      </c>
      <c r="AH1" t="s">
        <v>84</v>
      </c>
    </row>
    <row r="2" spans="1:41" ht="18" x14ac:dyDescent="0.25">
      <c r="A2" s="296" t="s">
        <v>10</v>
      </c>
      <c r="B2" s="296"/>
      <c r="C2" s="296"/>
      <c r="D2" s="296"/>
      <c r="E2" s="296"/>
      <c r="F2" s="296"/>
      <c r="G2" s="296"/>
      <c r="H2" s="296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AG2" s="3">
        <v>17231000</v>
      </c>
      <c r="AH2" s="3">
        <f>250000+67000</f>
        <v>317000</v>
      </c>
      <c r="AI2" s="3">
        <f>SUM(AG2:AH2)</f>
        <v>17548000</v>
      </c>
    </row>
    <row r="3" spans="1:41" x14ac:dyDescent="0.25">
      <c r="A3" s="298" t="s">
        <v>82</v>
      </c>
      <c r="B3" s="298"/>
      <c r="C3" s="298"/>
      <c r="D3" s="298"/>
      <c r="E3" s="298"/>
      <c r="F3" s="298"/>
      <c r="G3" s="298"/>
      <c r="H3" s="298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pans="1:41" ht="15.75" thickBot="1" x14ac:dyDescent="0.3">
      <c r="E4">
        <v>1800</v>
      </c>
      <c r="F4">
        <v>4</v>
      </c>
      <c r="G4">
        <f>+E4*F4</f>
        <v>7200</v>
      </c>
    </row>
    <row r="5" spans="1:41" ht="21" x14ac:dyDescent="0.35">
      <c r="A5" s="46" t="s">
        <v>69</v>
      </c>
      <c r="B5" s="46"/>
      <c r="C5" s="46"/>
      <c r="D5" s="46"/>
      <c r="E5" s="46">
        <v>900</v>
      </c>
      <c r="F5" s="46">
        <v>4</v>
      </c>
      <c r="G5">
        <f>+E5*F5</f>
        <v>3600</v>
      </c>
      <c r="H5" s="287"/>
      <c r="Y5" s="17"/>
      <c r="Z5" s="18">
        <v>14000000</v>
      </c>
      <c r="AA5" s="18"/>
      <c r="AB5" s="18">
        <v>14500000</v>
      </c>
      <c r="AC5" s="18"/>
      <c r="AD5" s="18">
        <v>15000000</v>
      </c>
      <c r="AE5" s="18"/>
      <c r="AF5" s="18">
        <v>16000000</v>
      </c>
      <c r="AG5" s="18"/>
      <c r="AH5" s="18">
        <v>17000000</v>
      </c>
      <c r="AI5" s="18"/>
      <c r="AJ5" s="18">
        <v>18000000</v>
      </c>
      <c r="AK5" s="18"/>
      <c r="AL5" s="18">
        <v>19000000</v>
      </c>
      <c r="AM5" s="18"/>
      <c r="AN5" s="19">
        <v>20000000</v>
      </c>
    </row>
    <row r="6" spans="1:41" ht="21" x14ac:dyDescent="0.35">
      <c r="A6" s="46" t="s">
        <v>68</v>
      </c>
      <c r="B6" s="46"/>
      <c r="C6" s="46"/>
      <c r="D6" s="46"/>
      <c r="E6" s="46">
        <v>500</v>
      </c>
      <c r="F6" s="46">
        <v>3</v>
      </c>
      <c r="G6" s="46">
        <f>+E6*F6</f>
        <v>1500</v>
      </c>
      <c r="H6" s="288" t="s">
        <v>164</v>
      </c>
      <c r="Y6" s="23">
        <v>0.01</v>
      </c>
      <c r="Z6" s="22">
        <f>+Z5*$Y$6</f>
        <v>140000</v>
      </c>
      <c r="AA6" s="22"/>
      <c r="AB6" s="22">
        <f>+AB5*$Y$6</f>
        <v>145000</v>
      </c>
      <c r="AC6" s="22"/>
      <c r="AD6" s="22">
        <f>+AD5*$Y$6</f>
        <v>150000</v>
      </c>
      <c r="AE6" s="22"/>
      <c r="AF6" s="22">
        <f>+AF5*$Y$6</f>
        <v>160000</v>
      </c>
      <c r="AG6" s="22"/>
      <c r="AH6" s="22">
        <f>+AH5*$Y$6</f>
        <v>170000</v>
      </c>
      <c r="AI6" s="22"/>
      <c r="AJ6" s="22">
        <f>+AJ5*$Y$6</f>
        <v>180000</v>
      </c>
      <c r="AK6" s="22"/>
      <c r="AL6" s="22">
        <f>+AL5*$Y$6</f>
        <v>190000</v>
      </c>
      <c r="AM6" s="22"/>
      <c r="AN6" s="24">
        <f>+AN5*$Y$6</f>
        <v>200000</v>
      </c>
    </row>
    <row r="7" spans="1:41" ht="21.75" thickBot="1" x14ac:dyDescent="0.4">
      <c r="A7" s="46" t="s">
        <v>70</v>
      </c>
      <c r="B7" s="45" t="s">
        <v>113</v>
      </c>
      <c r="C7" s="45"/>
      <c r="D7" s="45"/>
      <c r="E7" s="45"/>
      <c r="F7" s="45"/>
      <c r="G7" s="45" t="s">
        <v>100</v>
      </c>
      <c r="H7" s="289" t="s">
        <v>100</v>
      </c>
      <c r="Y7" s="25"/>
      <c r="Z7" s="20">
        <f>+Z6/12</f>
        <v>11666.666666666666</v>
      </c>
      <c r="AA7" s="20"/>
      <c r="AB7" s="20">
        <f>+AB6/12</f>
        <v>12083.333333333334</v>
      </c>
      <c r="AC7" s="20"/>
      <c r="AD7" s="20">
        <f t="shared" ref="AD7:AN7" si="0">+AD6/12</f>
        <v>12500</v>
      </c>
      <c r="AE7" s="20"/>
      <c r="AF7" s="20">
        <f t="shared" si="0"/>
        <v>13333.333333333334</v>
      </c>
      <c r="AG7" s="20"/>
      <c r="AH7" s="20">
        <f t="shared" si="0"/>
        <v>14166.666666666666</v>
      </c>
      <c r="AI7" s="20"/>
      <c r="AJ7" s="20">
        <f t="shared" si="0"/>
        <v>15000</v>
      </c>
      <c r="AK7" s="20"/>
      <c r="AL7" s="20">
        <f t="shared" si="0"/>
        <v>15833.333333333334</v>
      </c>
      <c r="AM7" s="20"/>
      <c r="AN7" s="21">
        <f t="shared" si="0"/>
        <v>16666.666666666668</v>
      </c>
    </row>
    <row r="8" spans="1:41" x14ac:dyDescent="0.25">
      <c r="A8" s="219"/>
      <c r="B8" s="175" t="s">
        <v>93</v>
      </c>
      <c r="C8" s="175" t="s">
        <v>153</v>
      </c>
      <c r="D8" s="175" t="s">
        <v>95</v>
      </c>
      <c r="E8" s="175" t="s">
        <v>152</v>
      </c>
      <c r="F8" s="279" t="s">
        <v>11</v>
      </c>
      <c r="G8" s="176" t="s">
        <v>99</v>
      </c>
      <c r="H8" s="290" t="s">
        <v>98</v>
      </c>
      <c r="I8" s="44">
        <v>45474</v>
      </c>
      <c r="J8" s="44">
        <v>45505</v>
      </c>
      <c r="K8" s="44">
        <v>45536</v>
      </c>
      <c r="L8" s="44">
        <v>45566</v>
      </c>
      <c r="M8" s="44">
        <v>45597</v>
      </c>
      <c r="N8" s="44">
        <v>45627</v>
      </c>
      <c r="O8" s="44">
        <v>45658</v>
      </c>
      <c r="P8" s="44">
        <v>45689</v>
      </c>
      <c r="Q8" s="44">
        <v>45717</v>
      </c>
      <c r="R8" s="44">
        <v>45748</v>
      </c>
      <c r="S8" s="44">
        <v>45778</v>
      </c>
      <c r="T8" s="44">
        <v>45809</v>
      </c>
      <c r="U8" s="36" t="s">
        <v>11</v>
      </c>
      <c r="V8" s="11" t="s">
        <v>97</v>
      </c>
      <c r="AI8" s="34">
        <v>17188665</v>
      </c>
      <c r="AJ8" s="34">
        <f>57000+250000+500000</f>
        <v>807000</v>
      </c>
      <c r="AK8" s="34">
        <f>+AJ8+AI8</f>
        <v>17995665</v>
      </c>
    </row>
    <row r="9" spans="1:41" x14ac:dyDescent="0.25">
      <c r="A9" s="6" t="s">
        <v>12</v>
      </c>
      <c r="B9" s="6"/>
      <c r="C9" s="6"/>
      <c r="D9" s="6"/>
      <c r="E9" s="6"/>
      <c r="F9" s="6"/>
      <c r="G9" s="6"/>
      <c r="H9" s="29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37"/>
      <c r="W9" s="11" t="s">
        <v>64</v>
      </c>
      <c r="AA9">
        <v>12</v>
      </c>
      <c r="AC9">
        <v>12</v>
      </c>
      <c r="AE9">
        <v>12</v>
      </c>
      <c r="AG9">
        <v>12</v>
      </c>
      <c r="AI9">
        <v>12</v>
      </c>
      <c r="AK9">
        <v>12</v>
      </c>
      <c r="AM9">
        <v>12</v>
      </c>
      <c r="AO9">
        <v>12</v>
      </c>
    </row>
    <row r="10" spans="1:41" ht="15.75" thickBot="1" x14ac:dyDescent="0.3">
      <c r="A10" s="6" t="s">
        <v>13</v>
      </c>
      <c r="B10" s="6"/>
      <c r="C10" s="6"/>
      <c r="D10" s="6"/>
      <c r="E10" s="6"/>
      <c r="F10" s="6"/>
      <c r="G10" s="6"/>
      <c r="H10" s="291"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38">
        <f>(((((((((((I10)+(J10))+(K10))+(L10))+(M10))+(N10))+(O10))+(P10))+(Q10))+(R10))+(S10))+(T10)</f>
        <v>0</v>
      </c>
    </row>
    <row r="11" spans="1:41" ht="15.75" thickBot="1" x14ac:dyDescent="0.3">
      <c r="A11" s="6" t="s">
        <v>14</v>
      </c>
      <c r="B11" s="47">
        <v>44554.85</v>
      </c>
      <c r="C11" s="270">
        <v>6460</v>
      </c>
      <c r="D11" s="274">
        <f>1680+540</f>
        <v>2220</v>
      </c>
      <c r="E11" s="275">
        <v>1000</v>
      </c>
      <c r="F11" s="47">
        <f>SUM(B11:E11)</f>
        <v>54234.85</v>
      </c>
      <c r="G11" s="41">
        <v>30000</v>
      </c>
      <c r="H11" s="291">
        <v>35000</v>
      </c>
      <c r="I11" s="8">
        <v>1000</v>
      </c>
      <c r="J11" s="8">
        <f>10000</f>
        <v>10000</v>
      </c>
      <c r="K11" s="8">
        <v>1000</v>
      </c>
      <c r="L11" s="8">
        <v>1000</v>
      </c>
      <c r="M11" s="8">
        <v>1000</v>
      </c>
      <c r="N11" s="8">
        <v>9500</v>
      </c>
      <c r="O11" s="8">
        <v>4500</v>
      </c>
      <c r="P11" s="8">
        <v>1000</v>
      </c>
      <c r="Q11" s="8">
        <v>1000</v>
      </c>
      <c r="R11" s="8">
        <v>1000</v>
      </c>
      <c r="S11" s="8">
        <v>3000</v>
      </c>
      <c r="T11" s="8">
        <v>1000</v>
      </c>
      <c r="U11" s="38">
        <v>35000</v>
      </c>
      <c r="V11" s="10">
        <f>H11-(SUM(I11:T11))</f>
        <v>0</v>
      </c>
      <c r="W11" s="3">
        <f>AVERAGE(I11:T11)</f>
        <v>2916.6666666666665</v>
      </c>
      <c r="Z11" s="3">
        <v>2500</v>
      </c>
      <c r="AA11" s="3">
        <f>+Z11*$AA$9</f>
        <v>30000</v>
      </c>
      <c r="AB11" s="3">
        <v>2500</v>
      </c>
      <c r="AC11" s="3">
        <f>+AB11*$AA$9</f>
        <v>30000</v>
      </c>
      <c r="AD11" s="3">
        <v>2500</v>
      </c>
      <c r="AE11" s="3">
        <f>+AD11*$AA$9</f>
        <v>30000</v>
      </c>
      <c r="AF11" s="3">
        <v>2500</v>
      </c>
      <c r="AG11" s="3">
        <f>+AF11*$AA$9</f>
        <v>30000</v>
      </c>
      <c r="AH11" s="3">
        <v>2500</v>
      </c>
      <c r="AI11" s="3">
        <f>+AH11*$AA$9</f>
        <v>30000</v>
      </c>
      <c r="AJ11" s="3">
        <v>2500</v>
      </c>
      <c r="AK11" s="3">
        <f>+AJ11*$AA$9</f>
        <v>30000</v>
      </c>
      <c r="AL11" s="3">
        <v>2500</v>
      </c>
      <c r="AM11" s="3">
        <f>+AL11*$AA$9</f>
        <v>30000</v>
      </c>
      <c r="AN11" s="3">
        <v>2500</v>
      </c>
      <c r="AO11" s="3">
        <f>+AN11*$AA$9</f>
        <v>30000</v>
      </c>
    </row>
    <row r="12" spans="1:41" x14ac:dyDescent="0.25">
      <c r="A12" s="6" t="s">
        <v>15</v>
      </c>
      <c r="B12" s="6"/>
      <c r="C12" s="6"/>
      <c r="D12" s="6"/>
      <c r="E12" s="6"/>
      <c r="F12" s="47">
        <f t="shared" ref="F12:F15" si="1">SUM(B12:E12)</f>
        <v>0</v>
      </c>
      <c r="G12" s="6"/>
      <c r="H12" s="291">
        <v>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8">
        <f>(((((((((((I12)+(J12))+(K12))+(L12))+(M12))+(N12))+(O12))+(P12))+(Q12))+(R12))+(S12))+(T12)</f>
        <v>0</v>
      </c>
      <c r="V12" s="10">
        <f t="shared" ref="V12:V66" si="2">H12-(SUM(I12:T12))</f>
        <v>0</v>
      </c>
      <c r="W12" s="3"/>
    </row>
    <row r="13" spans="1:41" x14ac:dyDescent="0.25">
      <c r="A13" s="6" t="s">
        <v>16</v>
      </c>
      <c r="B13" s="43">
        <v>112933.62</v>
      </c>
      <c r="C13" s="43">
        <v>42679.73</v>
      </c>
      <c r="D13" s="43"/>
      <c r="E13" s="43"/>
      <c r="F13" s="47">
        <f t="shared" si="1"/>
        <v>155613.35</v>
      </c>
      <c r="G13" s="43">
        <v>145000</v>
      </c>
      <c r="H13" s="292">
        <v>167500</v>
      </c>
      <c r="I13" s="8">
        <f>H13/4</f>
        <v>41875</v>
      </c>
      <c r="J13" s="8">
        <f>0</f>
        <v>0</v>
      </c>
      <c r="K13" s="8">
        <f>0</f>
        <v>0</v>
      </c>
      <c r="L13" s="8">
        <f>H13/4</f>
        <v>41875</v>
      </c>
      <c r="M13" s="8">
        <f>0</f>
        <v>0</v>
      </c>
      <c r="N13" s="8">
        <f>0</f>
        <v>0</v>
      </c>
      <c r="O13" s="8">
        <f>H13/4</f>
        <v>41875</v>
      </c>
      <c r="P13" s="8">
        <f>0</f>
        <v>0</v>
      </c>
      <c r="Q13" s="8">
        <f>0</f>
        <v>0</v>
      </c>
      <c r="R13" s="8">
        <f>H13/4</f>
        <v>41875</v>
      </c>
      <c r="S13" s="8">
        <f>0</f>
        <v>0</v>
      </c>
      <c r="T13" s="8">
        <f>0</f>
        <v>0</v>
      </c>
      <c r="U13" s="38">
        <f>+V13*0.01</f>
        <v>0</v>
      </c>
      <c r="V13" s="10">
        <f t="shared" si="2"/>
        <v>0</v>
      </c>
      <c r="W13" s="5">
        <f>AVERAGE(I13:T13)</f>
        <v>13958.333333333334</v>
      </c>
      <c r="Z13" s="14">
        <f>+Z7</f>
        <v>11666.666666666666</v>
      </c>
      <c r="AA13" s="5">
        <f>+Z13*$AA$9</f>
        <v>140000</v>
      </c>
      <c r="AB13" s="14">
        <f>+AB7</f>
        <v>12083.333333333334</v>
      </c>
      <c r="AC13" s="5">
        <f>+AB13*$AA$9</f>
        <v>145000</v>
      </c>
      <c r="AD13" s="14">
        <f>+AD7</f>
        <v>12500</v>
      </c>
      <c r="AE13" s="5">
        <f>+AD13*$AA$9</f>
        <v>150000</v>
      </c>
      <c r="AF13" s="14">
        <f>+AF7</f>
        <v>13333.333333333334</v>
      </c>
      <c r="AG13" s="5">
        <f>+AF13*$AA$9</f>
        <v>160000</v>
      </c>
      <c r="AH13" s="14">
        <f>+AH7</f>
        <v>14166.666666666666</v>
      </c>
      <c r="AI13" s="5">
        <f>+AH13*$AA$9</f>
        <v>170000</v>
      </c>
      <c r="AJ13" s="14">
        <f>+AJ7</f>
        <v>15000</v>
      </c>
      <c r="AK13" s="5">
        <f>+AJ13*$AA$9</f>
        <v>180000</v>
      </c>
      <c r="AL13" s="14">
        <f>+AL7</f>
        <v>15833.333333333334</v>
      </c>
      <c r="AM13" s="5">
        <f>+AL13*$AA$9</f>
        <v>190000</v>
      </c>
      <c r="AN13" s="14">
        <f>+AN7</f>
        <v>16666.666666666668</v>
      </c>
      <c r="AO13" s="5">
        <f>+AN13*$AA$9</f>
        <v>200000</v>
      </c>
    </row>
    <row r="14" spans="1:41" x14ac:dyDescent="0.25">
      <c r="A14" s="6" t="s">
        <v>17</v>
      </c>
      <c r="B14" s="9">
        <f t="shared" ref="B14:U14" si="3">(B12)+(B13)</f>
        <v>112933.62</v>
      </c>
      <c r="C14" s="9">
        <f t="shared" si="3"/>
        <v>42679.73</v>
      </c>
      <c r="D14" s="9">
        <f t="shared" si="3"/>
        <v>0</v>
      </c>
      <c r="E14" s="9">
        <f t="shared" si="3"/>
        <v>0</v>
      </c>
      <c r="F14" s="9">
        <f t="shared" si="3"/>
        <v>155613.35</v>
      </c>
      <c r="G14" s="9">
        <f t="shared" si="3"/>
        <v>145000</v>
      </c>
      <c r="H14" s="293">
        <f t="shared" si="3"/>
        <v>167500</v>
      </c>
      <c r="I14" s="9">
        <f t="shared" si="3"/>
        <v>41875</v>
      </c>
      <c r="J14" s="9">
        <f t="shared" si="3"/>
        <v>0</v>
      </c>
      <c r="K14" s="9">
        <f t="shared" si="3"/>
        <v>0</v>
      </c>
      <c r="L14" s="9">
        <f t="shared" si="3"/>
        <v>41875</v>
      </c>
      <c r="M14" s="9">
        <f t="shared" si="3"/>
        <v>0</v>
      </c>
      <c r="N14" s="9">
        <f t="shared" si="3"/>
        <v>0</v>
      </c>
      <c r="O14" s="9">
        <f t="shared" si="3"/>
        <v>41875</v>
      </c>
      <c r="P14" s="9">
        <f t="shared" si="3"/>
        <v>0</v>
      </c>
      <c r="Q14" s="9">
        <f t="shared" si="3"/>
        <v>0</v>
      </c>
      <c r="R14" s="9">
        <f t="shared" si="3"/>
        <v>41875</v>
      </c>
      <c r="S14" s="9">
        <f t="shared" si="3"/>
        <v>0</v>
      </c>
      <c r="T14" s="9">
        <f t="shared" si="3"/>
        <v>0</v>
      </c>
      <c r="U14" s="9">
        <f t="shared" si="3"/>
        <v>0</v>
      </c>
      <c r="V14" s="10">
        <f t="shared" si="2"/>
        <v>0</v>
      </c>
      <c r="W14" s="3">
        <f>+W11+W13</f>
        <v>16875</v>
      </c>
      <c r="Z14" s="3">
        <f t="shared" ref="Z14" si="4">+Z11+Z13</f>
        <v>14166.666666666666</v>
      </c>
      <c r="AA14" s="3">
        <f t="shared" ref="AA14" si="5">+AA11+AA13</f>
        <v>170000</v>
      </c>
      <c r="AB14" s="3">
        <f t="shared" ref="AB14" si="6">+AB11+AB13</f>
        <v>14583.333333333334</v>
      </c>
      <c r="AC14" s="3">
        <f t="shared" ref="AC14:AO14" si="7">+AC11+AC13</f>
        <v>175000</v>
      </c>
      <c r="AD14" s="3">
        <f t="shared" ref="AD14" si="8">+AD11+AD13</f>
        <v>15000</v>
      </c>
      <c r="AE14" s="3">
        <f t="shared" si="7"/>
        <v>180000</v>
      </c>
      <c r="AF14" s="3">
        <f t="shared" ref="AF14" si="9">+AF11+AF13</f>
        <v>15833.333333333334</v>
      </c>
      <c r="AG14" s="3">
        <f t="shared" si="7"/>
        <v>190000</v>
      </c>
      <c r="AH14" s="3">
        <f t="shared" ref="AH14" si="10">+AH11+AH13</f>
        <v>16666.666666666664</v>
      </c>
      <c r="AI14" s="3">
        <f t="shared" si="7"/>
        <v>200000</v>
      </c>
      <c r="AJ14" s="3">
        <f t="shared" ref="AJ14" si="11">+AJ11+AJ13</f>
        <v>17500</v>
      </c>
      <c r="AK14" s="3">
        <f t="shared" si="7"/>
        <v>210000</v>
      </c>
      <c r="AL14" s="3">
        <f t="shared" ref="AL14" si="12">+AL11+AL13</f>
        <v>18333.333333333336</v>
      </c>
      <c r="AM14" s="3">
        <f t="shared" si="7"/>
        <v>220000</v>
      </c>
      <c r="AN14" s="3">
        <f t="shared" ref="AN14" si="13">+AN11+AN13</f>
        <v>19166.666666666668</v>
      </c>
      <c r="AO14" s="3">
        <f t="shared" si="7"/>
        <v>230000</v>
      </c>
    </row>
    <row r="15" spans="1:41" x14ac:dyDescent="0.25">
      <c r="A15" s="6" t="s">
        <v>18</v>
      </c>
      <c r="B15" s="43">
        <v>37500.03</v>
      </c>
      <c r="C15" s="43">
        <v>4166.67</v>
      </c>
      <c r="D15" s="43">
        <v>4166.67</v>
      </c>
      <c r="E15" s="43">
        <v>4166.67</v>
      </c>
      <c r="F15" s="47">
        <f t="shared" si="1"/>
        <v>50000.039999999994</v>
      </c>
      <c r="G15" s="43">
        <v>50000</v>
      </c>
      <c r="H15" s="292">
        <v>40000</v>
      </c>
      <c r="I15" s="8">
        <f>$H$15/12</f>
        <v>3333.3333333333335</v>
      </c>
      <c r="J15" s="8">
        <f t="shared" ref="J15:T15" si="14">$H$15/12</f>
        <v>3333.3333333333335</v>
      </c>
      <c r="K15" s="8">
        <f t="shared" si="14"/>
        <v>3333.3333333333335</v>
      </c>
      <c r="L15" s="8">
        <f t="shared" si="14"/>
        <v>3333.3333333333335</v>
      </c>
      <c r="M15" s="8">
        <f t="shared" si="14"/>
        <v>3333.3333333333335</v>
      </c>
      <c r="N15" s="8">
        <f t="shared" si="14"/>
        <v>3333.3333333333335</v>
      </c>
      <c r="O15" s="8">
        <f t="shared" si="14"/>
        <v>3333.3333333333335</v>
      </c>
      <c r="P15" s="8">
        <f t="shared" si="14"/>
        <v>3333.3333333333335</v>
      </c>
      <c r="Q15" s="8">
        <f t="shared" si="14"/>
        <v>3333.3333333333335</v>
      </c>
      <c r="R15" s="8">
        <f t="shared" si="14"/>
        <v>3333.3333333333335</v>
      </c>
      <c r="S15" s="8">
        <f t="shared" si="14"/>
        <v>3333.3333333333335</v>
      </c>
      <c r="T15" s="8">
        <f t="shared" si="14"/>
        <v>3333.3333333333335</v>
      </c>
      <c r="U15" s="38">
        <v>40000</v>
      </c>
      <c r="V15" s="10">
        <f t="shared" si="2"/>
        <v>0</v>
      </c>
      <c r="W15" s="5">
        <f>AVERAGE(I15:T15)</f>
        <v>3333.3333333333335</v>
      </c>
      <c r="Z15" s="3">
        <v>4166.6666666666652</v>
      </c>
      <c r="AA15" s="3">
        <f>+Z15*AA9</f>
        <v>49999.999999999985</v>
      </c>
      <c r="AB15" s="3">
        <v>4166.6666666666652</v>
      </c>
      <c r="AC15" s="3">
        <f>+AB15*AC9</f>
        <v>49999.999999999985</v>
      </c>
      <c r="AD15" s="3">
        <v>4166.6666666666652</v>
      </c>
      <c r="AE15" s="3">
        <f>+AD15*AE9</f>
        <v>49999.999999999985</v>
      </c>
      <c r="AF15" s="3">
        <v>4166.6666666666652</v>
      </c>
      <c r="AG15" s="3">
        <f>+AF15*AG9</f>
        <v>49999.999999999985</v>
      </c>
      <c r="AH15" s="3">
        <v>4166.6666666666652</v>
      </c>
      <c r="AI15" s="3">
        <f>+AH15*AI9</f>
        <v>49999.999999999985</v>
      </c>
      <c r="AJ15" s="3">
        <v>4166.6666666666652</v>
      </c>
      <c r="AK15" s="3">
        <f>+AJ15*AK9</f>
        <v>49999.999999999985</v>
      </c>
      <c r="AL15" s="3">
        <v>4166.6666666666652</v>
      </c>
      <c r="AM15" s="3">
        <f>+AL15*AM9</f>
        <v>49999.999999999985</v>
      </c>
      <c r="AN15" s="3">
        <v>4166.6666666666652</v>
      </c>
      <c r="AO15" s="3">
        <f>+AN15*AO9</f>
        <v>49999.999999999985</v>
      </c>
    </row>
    <row r="16" spans="1:41" x14ac:dyDescent="0.25">
      <c r="A16" s="6" t="s">
        <v>19</v>
      </c>
      <c r="B16" s="9">
        <f t="shared" ref="B16:H16" si="15">(((B10)+(B11))+(B14))+(B15)</f>
        <v>194988.5</v>
      </c>
      <c r="C16" s="9">
        <f t="shared" si="15"/>
        <v>53306.400000000001</v>
      </c>
      <c r="D16" s="9">
        <f t="shared" si="15"/>
        <v>6386.67</v>
      </c>
      <c r="E16" s="9">
        <f t="shared" si="15"/>
        <v>5166.67</v>
      </c>
      <c r="F16" s="9">
        <f t="shared" si="15"/>
        <v>259848.24</v>
      </c>
      <c r="G16" s="9">
        <f t="shared" si="15"/>
        <v>225000</v>
      </c>
      <c r="H16" s="293">
        <f t="shared" si="15"/>
        <v>242500</v>
      </c>
      <c r="I16" s="9">
        <f t="shared" ref="I16:T16" si="16">(((I10)+(I11))+(I14))+(I15)</f>
        <v>46208.333333333336</v>
      </c>
      <c r="J16" s="9">
        <f t="shared" si="16"/>
        <v>13333.333333333334</v>
      </c>
      <c r="K16" s="9">
        <f t="shared" si="16"/>
        <v>4333.3333333333339</v>
      </c>
      <c r="L16" s="9">
        <f t="shared" si="16"/>
        <v>46208.333333333336</v>
      </c>
      <c r="M16" s="9">
        <f t="shared" si="16"/>
        <v>4333.3333333333339</v>
      </c>
      <c r="N16" s="9">
        <f t="shared" si="16"/>
        <v>12833.333333333334</v>
      </c>
      <c r="O16" s="9">
        <f t="shared" si="16"/>
        <v>49708.333333333336</v>
      </c>
      <c r="P16" s="9">
        <f t="shared" si="16"/>
        <v>4333.3333333333339</v>
      </c>
      <c r="Q16" s="9">
        <f t="shared" si="16"/>
        <v>4333.3333333333339</v>
      </c>
      <c r="R16" s="9">
        <f t="shared" si="16"/>
        <v>46208.333333333336</v>
      </c>
      <c r="S16" s="9">
        <f t="shared" si="16"/>
        <v>6333.3333333333339</v>
      </c>
      <c r="T16" s="9">
        <f t="shared" si="16"/>
        <v>4333.3333333333339</v>
      </c>
      <c r="U16" s="9">
        <f t="shared" ref="U16" si="17">(((U10)+(U11))+(U14))+(U15)</f>
        <v>75000</v>
      </c>
      <c r="V16" s="10">
        <f t="shared" si="2"/>
        <v>0</v>
      </c>
      <c r="W16" s="12">
        <f>+W14+W15</f>
        <v>20208.333333333332</v>
      </c>
      <c r="Z16" s="12">
        <f t="shared" ref="Z16" si="18">+Z14+Z15</f>
        <v>18333.333333333332</v>
      </c>
      <c r="AA16" s="12">
        <f t="shared" ref="AA16" si="19">+AA14+AA15</f>
        <v>220000</v>
      </c>
      <c r="AB16" s="12">
        <f t="shared" ref="AB16" si="20">+AB14+AB15</f>
        <v>18750</v>
      </c>
      <c r="AC16" s="12">
        <f t="shared" ref="AC16:AO16" si="21">+AC14+AC15</f>
        <v>225000</v>
      </c>
      <c r="AD16" s="12">
        <f t="shared" ref="AD16" si="22">+AD14+AD15</f>
        <v>19166.666666666664</v>
      </c>
      <c r="AE16" s="12">
        <f t="shared" si="21"/>
        <v>230000</v>
      </c>
      <c r="AF16" s="12">
        <f t="shared" ref="AF16" si="23">+AF14+AF15</f>
        <v>20000</v>
      </c>
      <c r="AG16" s="12">
        <f t="shared" si="21"/>
        <v>240000</v>
      </c>
      <c r="AH16" s="12">
        <f t="shared" ref="AH16" si="24">+AH14+AH15</f>
        <v>20833.333333333328</v>
      </c>
      <c r="AI16" s="12">
        <f t="shared" si="21"/>
        <v>250000</v>
      </c>
      <c r="AJ16" s="12">
        <f t="shared" ref="AJ16" si="25">+AJ14+AJ15</f>
        <v>21666.666666666664</v>
      </c>
      <c r="AK16" s="12">
        <f t="shared" si="21"/>
        <v>260000</v>
      </c>
      <c r="AL16" s="12">
        <f t="shared" ref="AL16" si="26">+AL14+AL15</f>
        <v>22500</v>
      </c>
      <c r="AM16" s="12">
        <f t="shared" si="21"/>
        <v>270000</v>
      </c>
      <c r="AN16" s="12">
        <f t="shared" ref="AN16" si="27">+AN14+AN15</f>
        <v>23333.333333333332</v>
      </c>
      <c r="AO16" s="12">
        <f t="shared" si="21"/>
        <v>280000</v>
      </c>
    </row>
    <row r="17" spans="1:41" x14ac:dyDescent="0.25">
      <c r="A17" s="6" t="s">
        <v>102</v>
      </c>
      <c r="B17" s="48">
        <v>906.14</v>
      </c>
      <c r="C17" s="48">
        <v>1.0900000000000001</v>
      </c>
      <c r="D17" s="48">
        <v>1</v>
      </c>
      <c r="E17" s="48">
        <v>1</v>
      </c>
      <c r="F17" s="47">
        <f t="shared" ref="F17" si="28">SUM(B17:E17)</f>
        <v>909.23</v>
      </c>
      <c r="G17" s="9"/>
      <c r="H17" s="29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>
        <f t="shared" si="2"/>
        <v>0</v>
      </c>
      <c r="W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x14ac:dyDescent="0.25">
      <c r="A18" s="6" t="s">
        <v>117</v>
      </c>
      <c r="B18" s="48">
        <v>8765.26</v>
      </c>
      <c r="C18" s="48"/>
      <c r="D18" s="48"/>
      <c r="E18" s="48"/>
      <c r="F18" s="9">
        <v>20760</v>
      </c>
      <c r="G18" s="9">
        <v>55950</v>
      </c>
      <c r="H18" s="293">
        <f>-H68</f>
        <v>58306.09600000002</v>
      </c>
      <c r="I18" s="9">
        <f t="shared" ref="I18:T18" si="29">-I68</f>
        <v>-25609.528666666673</v>
      </c>
      <c r="J18" s="9">
        <f t="shared" si="29"/>
        <v>7265.4713333333293</v>
      </c>
      <c r="K18" s="9">
        <f t="shared" si="29"/>
        <v>17515.471333333327</v>
      </c>
      <c r="L18" s="9">
        <f t="shared" si="29"/>
        <v>-14926.68033333333</v>
      </c>
      <c r="M18" s="9">
        <f t="shared" si="29"/>
        <v>25614.339666666659</v>
      </c>
      <c r="N18" s="9">
        <f t="shared" si="29"/>
        <v>11563.854666666668</v>
      </c>
      <c r="O18" s="9">
        <f t="shared" si="29"/>
        <v>-22011.145333333334</v>
      </c>
      <c r="P18" s="9">
        <f t="shared" si="29"/>
        <v>21663.854666666666</v>
      </c>
      <c r="Q18" s="9">
        <f t="shared" si="29"/>
        <v>18863.854666666666</v>
      </c>
      <c r="R18" s="9">
        <f t="shared" si="29"/>
        <v>-21211.145333333334</v>
      </c>
      <c r="S18" s="9">
        <f t="shared" si="29"/>
        <v>17063.854666666666</v>
      </c>
      <c r="T18" s="9">
        <f t="shared" si="29"/>
        <v>18863.894666666667</v>
      </c>
      <c r="U18" s="9"/>
      <c r="V18" s="10">
        <f t="shared" si="2"/>
        <v>3650.0000000000437</v>
      </c>
      <c r="W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5">
      <c r="A19" s="6" t="s">
        <v>20</v>
      </c>
      <c r="B19" s="9">
        <f>+B16+B17+B18</f>
        <v>204659.90000000002</v>
      </c>
      <c r="C19" s="9">
        <f t="shared" ref="C19:F19" si="30">+C16+C17+C18</f>
        <v>53307.49</v>
      </c>
      <c r="D19" s="9">
        <f t="shared" si="30"/>
        <v>6387.67</v>
      </c>
      <c r="E19" s="9">
        <f t="shared" si="30"/>
        <v>5167.67</v>
      </c>
      <c r="F19" s="9">
        <f t="shared" si="30"/>
        <v>281517.46999999997</v>
      </c>
      <c r="G19" s="9">
        <f t="shared" ref="G19:U19" si="31">+G16+G17+G18</f>
        <v>280950</v>
      </c>
      <c r="H19" s="293">
        <f t="shared" si="31"/>
        <v>300806.09600000002</v>
      </c>
      <c r="I19" s="9">
        <f t="shared" si="31"/>
        <v>20598.804666666663</v>
      </c>
      <c r="J19" s="9">
        <f t="shared" si="31"/>
        <v>20598.804666666663</v>
      </c>
      <c r="K19" s="9">
        <f t="shared" si="31"/>
        <v>21848.804666666663</v>
      </c>
      <c r="L19" s="9">
        <f t="shared" si="31"/>
        <v>31281.653000000006</v>
      </c>
      <c r="M19" s="9">
        <f t="shared" si="31"/>
        <v>29947.672999999995</v>
      </c>
      <c r="N19" s="9">
        <f t="shared" si="31"/>
        <v>24397.188000000002</v>
      </c>
      <c r="O19" s="9">
        <f t="shared" si="31"/>
        <v>27697.188000000002</v>
      </c>
      <c r="P19" s="9">
        <f t="shared" si="31"/>
        <v>25997.188000000002</v>
      </c>
      <c r="Q19" s="9">
        <f t="shared" si="31"/>
        <v>23197.188000000002</v>
      </c>
      <c r="R19" s="9">
        <f t="shared" si="31"/>
        <v>24997.188000000002</v>
      </c>
      <c r="S19" s="9">
        <f t="shared" si="31"/>
        <v>23397.188000000002</v>
      </c>
      <c r="T19" s="9">
        <f t="shared" si="31"/>
        <v>23197.228000000003</v>
      </c>
      <c r="U19" s="9">
        <f t="shared" si="31"/>
        <v>75000</v>
      </c>
      <c r="V19" s="10">
        <f t="shared" si="2"/>
        <v>3650.0000000000582</v>
      </c>
      <c r="W19" s="12">
        <f>+W16</f>
        <v>20208.333333333332</v>
      </c>
      <c r="Z19" s="12">
        <f t="shared" ref="Z19:AO19" si="32">+Z16</f>
        <v>18333.333333333332</v>
      </c>
      <c r="AA19" s="12">
        <f t="shared" si="32"/>
        <v>220000</v>
      </c>
      <c r="AB19" s="12">
        <f t="shared" si="32"/>
        <v>18750</v>
      </c>
      <c r="AC19" s="12">
        <f t="shared" si="32"/>
        <v>225000</v>
      </c>
      <c r="AD19" s="12">
        <f t="shared" si="32"/>
        <v>19166.666666666664</v>
      </c>
      <c r="AE19" s="12">
        <f t="shared" si="32"/>
        <v>230000</v>
      </c>
      <c r="AF19" s="12">
        <f t="shared" si="32"/>
        <v>20000</v>
      </c>
      <c r="AG19" s="12">
        <f t="shared" si="32"/>
        <v>240000</v>
      </c>
      <c r="AH19" s="12">
        <f t="shared" si="32"/>
        <v>20833.333333333328</v>
      </c>
      <c r="AI19" s="12">
        <f t="shared" si="32"/>
        <v>250000</v>
      </c>
      <c r="AJ19" s="12">
        <f t="shared" si="32"/>
        <v>21666.666666666664</v>
      </c>
      <c r="AK19" s="12">
        <f t="shared" si="32"/>
        <v>260000</v>
      </c>
      <c r="AL19" s="12">
        <f t="shared" si="32"/>
        <v>22500</v>
      </c>
      <c r="AM19" s="12">
        <f t="shared" si="32"/>
        <v>270000</v>
      </c>
      <c r="AN19" s="12">
        <f t="shared" si="32"/>
        <v>23333.333333333332</v>
      </c>
      <c r="AO19" s="12">
        <f t="shared" si="32"/>
        <v>280000</v>
      </c>
    </row>
    <row r="20" spans="1:41" x14ac:dyDescent="0.25">
      <c r="A20" s="6" t="s">
        <v>21</v>
      </c>
      <c r="B20" s="9">
        <f>+B19</f>
        <v>204659.90000000002</v>
      </c>
      <c r="C20" s="9">
        <f t="shared" ref="C20:F20" si="33">+C19</f>
        <v>53307.49</v>
      </c>
      <c r="D20" s="9">
        <f t="shared" si="33"/>
        <v>6387.67</v>
      </c>
      <c r="E20" s="9">
        <f t="shared" si="33"/>
        <v>5167.67</v>
      </c>
      <c r="F20" s="9">
        <f t="shared" si="33"/>
        <v>281517.46999999997</v>
      </c>
      <c r="G20" s="9">
        <f t="shared" ref="G20:U20" si="34">+G19</f>
        <v>280950</v>
      </c>
      <c r="H20" s="293">
        <f t="shared" si="34"/>
        <v>300806.09600000002</v>
      </c>
      <c r="I20" s="9">
        <f t="shared" si="34"/>
        <v>20598.804666666663</v>
      </c>
      <c r="J20" s="9">
        <f t="shared" si="34"/>
        <v>20598.804666666663</v>
      </c>
      <c r="K20" s="9">
        <f t="shared" si="34"/>
        <v>21848.804666666663</v>
      </c>
      <c r="L20" s="9">
        <f t="shared" si="34"/>
        <v>31281.653000000006</v>
      </c>
      <c r="M20" s="9">
        <f t="shared" si="34"/>
        <v>29947.672999999995</v>
      </c>
      <c r="N20" s="9">
        <f t="shared" si="34"/>
        <v>24397.188000000002</v>
      </c>
      <c r="O20" s="9">
        <f t="shared" si="34"/>
        <v>27697.188000000002</v>
      </c>
      <c r="P20" s="9">
        <f t="shared" si="34"/>
        <v>25997.188000000002</v>
      </c>
      <c r="Q20" s="9">
        <f t="shared" si="34"/>
        <v>23197.188000000002</v>
      </c>
      <c r="R20" s="9">
        <f t="shared" si="34"/>
        <v>24997.188000000002</v>
      </c>
      <c r="S20" s="9">
        <f t="shared" si="34"/>
        <v>23397.188000000002</v>
      </c>
      <c r="T20" s="9">
        <f t="shared" si="34"/>
        <v>23197.228000000003</v>
      </c>
      <c r="U20" s="9">
        <f t="shared" si="34"/>
        <v>75000</v>
      </c>
      <c r="V20" s="10">
        <f t="shared" si="2"/>
        <v>3650.0000000000582</v>
      </c>
      <c r="W20" s="3">
        <f>+W19</f>
        <v>20208.333333333332</v>
      </c>
      <c r="X20" s="3">
        <f>+W20*12</f>
        <v>242500</v>
      </c>
      <c r="Z20" s="3">
        <f t="shared" ref="Z20" si="35">+Z19</f>
        <v>18333.333333333332</v>
      </c>
      <c r="AA20" s="3">
        <f t="shared" ref="AA20" si="36">+AA19</f>
        <v>220000</v>
      </c>
      <c r="AB20" s="3">
        <f t="shared" ref="AB20" si="37">+AB19</f>
        <v>18750</v>
      </c>
      <c r="AC20" s="3">
        <f t="shared" ref="AC20:AO20" si="38">+AC19</f>
        <v>225000</v>
      </c>
      <c r="AD20" s="3">
        <f t="shared" ref="AD20" si="39">+AD19</f>
        <v>19166.666666666664</v>
      </c>
      <c r="AE20" s="3">
        <f t="shared" si="38"/>
        <v>230000</v>
      </c>
      <c r="AF20" s="3">
        <f t="shared" ref="AF20" si="40">+AF19</f>
        <v>20000</v>
      </c>
      <c r="AG20" s="3">
        <f t="shared" si="38"/>
        <v>240000</v>
      </c>
      <c r="AH20" s="3">
        <f t="shared" ref="AH20" si="41">+AH19</f>
        <v>20833.333333333328</v>
      </c>
      <c r="AI20" s="3">
        <f t="shared" si="38"/>
        <v>250000</v>
      </c>
      <c r="AJ20" s="3">
        <f t="shared" ref="AJ20" si="42">+AJ19</f>
        <v>21666.666666666664</v>
      </c>
      <c r="AK20" s="3">
        <f t="shared" si="38"/>
        <v>260000</v>
      </c>
      <c r="AL20" s="3">
        <f t="shared" ref="AL20" si="43">+AL19</f>
        <v>22500</v>
      </c>
      <c r="AM20" s="3">
        <f t="shared" si="38"/>
        <v>270000</v>
      </c>
      <c r="AN20" s="3">
        <f t="shared" ref="AN20" si="44">+AN19</f>
        <v>23333.333333333332</v>
      </c>
      <c r="AO20" s="3">
        <f t="shared" si="38"/>
        <v>280000</v>
      </c>
    </row>
    <row r="21" spans="1:41" ht="15.75" thickBot="1" x14ac:dyDescent="0.3">
      <c r="A21" s="6" t="s">
        <v>22</v>
      </c>
      <c r="B21" s="6"/>
      <c r="C21" s="6"/>
      <c r="D21" s="6"/>
      <c r="E21" s="6"/>
      <c r="F21" s="278"/>
      <c r="G21" s="6"/>
      <c r="H21" s="29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37"/>
      <c r="V21" s="10">
        <f t="shared" si="2"/>
        <v>0</v>
      </c>
      <c r="W21" s="3"/>
    </row>
    <row r="22" spans="1:41" ht="15.75" thickBot="1" x14ac:dyDescent="0.3">
      <c r="A22" s="220" t="s">
        <v>71</v>
      </c>
      <c r="B22" s="42">
        <v>1986.2</v>
      </c>
      <c r="C22" s="42"/>
      <c r="D22" s="273">
        <v>7500</v>
      </c>
      <c r="E22" s="42"/>
      <c r="F22" s="47">
        <f t="shared" ref="F22:F39" si="45">SUM(B22:E22)</f>
        <v>9486.2000000000007</v>
      </c>
      <c r="G22" s="42">
        <v>5000</v>
      </c>
      <c r="H22" s="294">
        <v>5000</v>
      </c>
      <c r="I22" s="8">
        <f>5000/12</f>
        <v>416.66666666666669</v>
      </c>
      <c r="J22" s="8">
        <f t="shared" ref="J22:T22" si="46">5000/12</f>
        <v>416.66666666666669</v>
      </c>
      <c r="K22" s="8">
        <f t="shared" si="46"/>
        <v>416.66666666666669</v>
      </c>
      <c r="L22" s="8">
        <f t="shared" si="46"/>
        <v>416.66666666666669</v>
      </c>
      <c r="M22" s="8">
        <f t="shared" si="46"/>
        <v>416.66666666666669</v>
      </c>
      <c r="N22" s="8">
        <f t="shared" si="46"/>
        <v>416.66666666666669</v>
      </c>
      <c r="O22" s="8">
        <f t="shared" si="46"/>
        <v>416.66666666666669</v>
      </c>
      <c r="P22" s="8">
        <f t="shared" si="46"/>
        <v>416.66666666666669</v>
      </c>
      <c r="Q22" s="8">
        <f t="shared" si="46"/>
        <v>416.66666666666669</v>
      </c>
      <c r="R22" s="8">
        <f t="shared" si="46"/>
        <v>416.66666666666669</v>
      </c>
      <c r="S22" s="8">
        <f t="shared" si="46"/>
        <v>416.66666666666669</v>
      </c>
      <c r="T22" s="8">
        <f t="shared" si="46"/>
        <v>416.66666666666669</v>
      </c>
      <c r="U22" s="38">
        <f>(((((((((((I22)+(J22))+(K22))+(L22))+(M22))+(N22))+(O22))+(P22))+(Q22))+(R22))+(S22))+(T22)</f>
        <v>5000</v>
      </c>
      <c r="V22" s="10">
        <f t="shared" si="2"/>
        <v>0</v>
      </c>
      <c r="W22" s="3">
        <f t="shared" ref="W22:W33" si="47">AVERAGE(I22:T22)</f>
        <v>416.66666666666669</v>
      </c>
      <c r="Z22" s="3">
        <v>416.66666666666669</v>
      </c>
      <c r="AA22" s="3">
        <f t="shared" ref="AA22:AC33" si="48">+Z22*$AA$9</f>
        <v>5000</v>
      </c>
      <c r="AB22" s="3">
        <v>416.66666666666669</v>
      </c>
      <c r="AC22" s="3">
        <f t="shared" si="48"/>
        <v>5000</v>
      </c>
      <c r="AD22" s="3">
        <v>416.66666666666669</v>
      </c>
      <c r="AE22" s="3">
        <f t="shared" ref="AE22" si="49">+AD22*$AA$9</f>
        <v>5000</v>
      </c>
      <c r="AF22" s="3">
        <v>416.66666666666669</v>
      </c>
      <c r="AG22" s="3">
        <f t="shared" ref="AG22" si="50">+AF22*$AA$9</f>
        <v>5000</v>
      </c>
      <c r="AH22" s="3">
        <v>416.66666666666669</v>
      </c>
      <c r="AI22" s="3">
        <f t="shared" ref="AI22" si="51">+AH22*$AA$9</f>
        <v>5000</v>
      </c>
      <c r="AJ22" s="3">
        <v>416.66666666666669</v>
      </c>
      <c r="AK22" s="3">
        <f t="shared" ref="AK22" si="52">+AJ22*$AA$9</f>
        <v>5000</v>
      </c>
      <c r="AL22" s="3">
        <v>416.66666666666669</v>
      </c>
      <c r="AM22" s="3">
        <f t="shared" ref="AM22" si="53">+AL22*$AA$9</f>
        <v>5000</v>
      </c>
      <c r="AN22" s="3">
        <v>416.66666666666669</v>
      </c>
      <c r="AO22" s="3">
        <f t="shared" ref="AO22" si="54">+AN22*$AA$9</f>
        <v>5000</v>
      </c>
    </row>
    <row r="23" spans="1:41" ht="15.75" thickBot="1" x14ac:dyDescent="0.3">
      <c r="A23" s="6" t="s">
        <v>23</v>
      </c>
      <c r="B23" s="42"/>
      <c r="C23" s="42"/>
      <c r="D23" s="42"/>
      <c r="E23" s="273">
        <v>14000</v>
      </c>
      <c r="F23" s="47">
        <f t="shared" si="45"/>
        <v>14000</v>
      </c>
      <c r="G23" s="41">
        <v>12000</v>
      </c>
      <c r="H23" s="291">
        <v>12000</v>
      </c>
      <c r="I23" s="8">
        <f>1000</f>
        <v>1000</v>
      </c>
      <c r="J23" s="8">
        <f>1000</f>
        <v>1000</v>
      </c>
      <c r="K23" s="8">
        <f>1000</f>
        <v>1000</v>
      </c>
      <c r="L23" s="8">
        <f>1000</f>
        <v>1000</v>
      </c>
      <c r="M23" s="8">
        <f>1000</f>
        <v>1000</v>
      </c>
      <c r="N23" s="8">
        <f>1000</f>
        <v>1000</v>
      </c>
      <c r="O23" s="8">
        <f>1000</f>
        <v>1000</v>
      </c>
      <c r="P23" s="8">
        <f>1000</f>
        <v>1000</v>
      </c>
      <c r="Q23" s="8">
        <f>1000</f>
        <v>1000</v>
      </c>
      <c r="R23" s="8">
        <f>1000</f>
        <v>1000</v>
      </c>
      <c r="S23" s="8">
        <f>1000</f>
        <v>1000</v>
      </c>
      <c r="T23" s="8">
        <f>1000</f>
        <v>1000</v>
      </c>
      <c r="U23" s="38">
        <f>(((((((((((I23)+(J23))+(K23))+(L23))+(M23))+(N23))+(O23))+(P23))+(Q23))+(R23))+(S23))+(T23)</f>
        <v>12000</v>
      </c>
      <c r="V23" s="10">
        <f t="shared" si="2"/>
        <v>0</v>
      </c>
      <c r="W23" s="3">
        <f t="shared" si="47"/>
        <v>1000</v>
      </c>
      <c r="Z23" s="3">
        <v>1000</v>
      </c>
      <c r="AA23" s="3">
        <f t="shared" si="48"/>
        <v>12000</v>
      </c>
      <c r="AB23" s="3">
        <v>1000</v>
      </c>
      <c r="AC23" s="3">
        <f t="shared" ref="AC23:AE23" si="55">+AB23*$AA$9</f>
        <v>12000</v>
      </c>
      <c r="AD23" s="3">
        <v>1000</v>
      </c>
      <c r="AE23" s="3">
        <f t="shared" si="55"/>
        <v>12000</v>
      </c>
      <c r="AF23" s="3">
        <v>1000</v>
      </c>
      <c r="AG23" s="3">
        <f t="shared" ref="AG23" si="56">+AF23*$AA$9</f>
        <v>12000</v>
      </c>
      <c r="AH23" s="3">
        <v>1000</v>
      </c>
      <c r="AI23" s="3">
        <f t="shared" ref="AI23" si="57">+AH23*$AA$9</f>
        <v>12000</v>
      </c>
      <c r="AJ23" s="3">
        <v>1000</v>
      </c>
      <c r="AK23" s="3">
        <f t="shared" ref="AK23" si="58">+AJ23*$AA$9</f>
        <v>12000</v>
      </c>
      <c r="AL23" s="3">
        <v>1000</v>
      </c>
      <c r="AM23" s="3">
        <f t="shared" ref="AM23" si="59">+AL23*$AA$9</f>
        <v>12000</v>
      </c>
      <c r="AN23" s="3">
        <v>1000</v>
      </c>
      <c r="AO23" s="3">
        <f t="shared" ref="AO23" si="60">+AN23*$AA$9</f>
        <v>12000</v>
      </c>
    </row>
    <row r="24" spans="1:41" ht="15.75" thickBot="1" x14ac:dyDescent="0.3">
      <c r="A24" s="6" t="s">
        <v>24</v>
      </c>
      <c r="B24" s="42"/>
      <c r="C24" s="42"/>
      <c r="D24" s="42"/>
      <c r="E24" s="42">
        <v>5000</v>
      </c>
      <c r="F24" s="47">
        <f t="shared" si="45"/>
        <v>5000</v>
      </c>
      <c r="G24" s="41">
        <v>10000</v>
      </c>
      <c r="H24" s="291">
        <v>2000</v>
      </c>
      <c r="I24" s="8">
        <f>2000/12</f>
        <v>166.66666666666666</v>
      </c>
      <c r="J24" s="8">
        <f t="shared" ref="J24:T24" si="61">2000/12</f>
        <v>166.66666666666666</v>
      </c>
      <c r="K24" s="8">
        <f t="shared" si="61"/>
        <v>166.66666666666666</v>
      </c>
      <c r="L24" s="8">
        <f t="shared" si="61"/>
        <v>166.66666666666666</v>
      </c>
      <c r="M24" s="8">
        <f t="shared" si="61"/>
        <v>166.66666666666666</v>
      </c>
      <c r="N24" s="8">
        <f t="shared" si="61"/>
        <v>166.66666666666666</v>
      </c>
      <c r="O24" s="8">
        <f t="shared" si="61"/>
        <v>166.66666666666666</v>
      </c>
      <c r="P24" s="8">
        <f t="shared" si="61"/>
        <v>166.66666666666666</v>
      </c>
      <c r="Q24" s="8">
        <f t="shared" si="61"/>
        <v>166.66666666666666</v>
      </c>
      <c r="R24" s="8">
        <f t="shared" si="61"/>
        <v>166.66666666666666</v>
      </c>
      <c r="S24" s="8">
        <f t="shared" si="61"/>
        <v>166.66666666666666</v>
      </c>
      <c r="T24" s="8">
        <f t="shared" si="61"/>
        <v>166.66666666666666</v>
      </c>
      <c r="U24" s="38"/>
      <c r="V24" s="10">
        <f t="shared" si="2"/>
        <v>0</v>
      </c>
      <c r="W24" s="3">
        <f t="shared" si="47"/>
        <v>166.66666666666669</v>
      </c>
      <c r="Z24" s="3">
        <v>833.33333333333348</v>
      </c>
      <c r="AA24" s="3">
        <f t="shared" si="48"/>
        <v>10000.000000000002</v>
      </c>
      <c r="AB24" s="3">
        <v>833.33333333333348</v>
      </c>
      <c r="AC24" s="3">
        <f t="shared" ref="AC24:AE24" si="62">+AB24*$AA$9</f>
        <v>10000.000000000002</v>
      </c>
      <c r="AD24" s="3">
        <v>833.33333333333348</v>
      </c>
      <c r="AE24" s="3">
        <f t="shared" si="62"/>
        <v>10000.000000000002</v>
      </c>
      <c r="AF24" s="3">
        <v>833.33333333333348</v>
      </c>
      <c r="AG24" s="3">
        <f t="shared" ref="AG24" si="63">+AF24*$AA$9</f>
        <v>10000.000000000002</v>
      </c>
      <c r="AH24" s="3">
        <v>833.33333333333348</v>
      </c>
      <c r="AI24" s="3">
        <f t="shared" ref="AI24" si="64">+AH24*$AA$9</f>
        <v>10000.000000000002</v>
      </c>
      <c r="AJ24" s="3">
        <v>833.33333333333348</v>
      </c>
      <c r="AK24" s="3">
        <f t="shared" ref="AK24" si="65">+AJ24*$AA$9</f>
        <v>10000.000000000002</v>
      </c>
      <c r="AL24" s="3">
        <v>833.33333333333348</v>
      </c>
      <c r="AM24" s="3">
        <f t="shared" ref="AM24" si="66">+AL24*$AA$9</f>
        <v>10000.000000000002</v>
      </c>
      <c r="AN24" s="3">
        <v>833.33333333333348</v>
      </c>
      <c r="AO24" s="3">
        <f t="shared" ref="AO24" si="67">+AN24*$AA$9</f>
        <v>10000.000000000002</v>
      </c>
    </row>
    <row r="25" spans="1:41" ht="15.75" thickBot="1" x14ac:dyDescent="0.3">
      <c r="A25" s="6" t="s">
        <v>25</v>
      </c>
      <c r="B25" s="42">
        <v>1209.2</v>
      </c>
      <c r="C25" s="42">
        <v>343.98</v>
      </c>
      <c r="D25" s="276"/>
      <c r="E25" s="277"/>
      <c r="F25" s="47">
        <f t="shared" si="45"/>
        <v>1553.18</v>
      </c>
      <c r="G25" s="41">
        <v>100</v>
      </c>
      <c r="H25" s="291">
        <v>1000</v>
      </c>
      <c r="I25" s="8">
        <f>+$H$25/12</f>
        <v>83.333333333333329</v>
      </c>
      <c r="J25" s="8">
        <f t="shared" ref="J25:T25" si="68">+$H$25/12</f>
        <v>83.333333333333329</v>
      </c>
      <c r="K25" s="8">
        <f t="shared" si="68"/>
        <v>83.333333333333329</v>
      </c>
      <c r="L25" s="8">
        <f t="shared" si="68"/>
        <v>83.333333333333329</v>
      </c>
      <c r="M25" s="8">
        <f t="shared" si="68"/>
        <v>83.333333333333329</v>
      </c>
      <c r="N25" s="8">
        <f t="shared" si="68"/>
        <v>83.333333333333329</v>
      </c>
      <c r="O25" s="8">
        <f t="shared" si="68"/>
        <v>83.333333333333329</v>
      </c>
      <c r="P25" s="8">
        <f t="shared" si="68"/>
        <v>83.333333333333329</v>
      </c>
      <c r="Q25" s="8">
        <f t="shared" si="68"/>
        <v>83.333333333333329</v>
      </c>
      <c r="R25" s="8">
        <f t="shared" si="68"/>
        <v>83.333333333333329</v>
      </c>
      <c r="S25" s="8">
        <f t="shared" si="68"/>
        <v>83.333333333333329</v>
      </c>
      <c r="T25" s="8">
        <f t="shared" si="68"/>
        <v>83.333333333333329</v>
      </c>
      <c r="U25" s="38">
        <f>(((((((((((I25)+(J25))+(K25))+(L25))+(M25))+(N25))+(O25))+(P25))+(Q25))+(R25))+(S25))+(T25)</f>
        <v>1000.0000000000001</v>
      </c>
      <c r="V25" s="10">
        <f t="shared" si="2"/>
        <v>0</v>
      </c>
      <c r="W25" s="3">
        <f t="shared" si="47"/>
        <v>83.333333333333343</v>
      </c>
      <c r="Z25" s="3">
        <v>8.3333333333333339</v>
      </c>
      <c r="AA25" s="3">
        <f t="shared" si="48"/>
        <v>100</v>
      </c>
      <c r="AB25" s="3">
        <v>8.3333333333333339</v>
      </c>
      <c r="AC25" s="3">
        <f t="shared" ref="AC25:AE25" si="69">+AB25*$AA$9</f>
        <v>100</v>
      </c>
      <c r="AD25" s="3">
        <v>8.3333333333333339</v>
      </c>
      <c r="AE25" s="3">
        <f t="shared" si="69"/>
        <v>100</v>
      </c>
      <c r="AF25" s="3">
        <v>8.3333333333333339</v>
      </c>
      <c r="AG25" s="3">
        <f t="shared" ref="AG25" si="70">+AF25*$AA$9</f>
        <v>100</v>
      </c>
      <c r="AH25" s="3">
        <v>8.3333333333333339</v>
      </c>
      <c r="AI25" s="3">
        <f t="shared" ref="AI25" si="71">+AH25*$AA$9</f>
        <v>100</v>
      </c>
      <c r="AJ25" s="3">
        <v>8.3333333333333339</v>
      </c>
      <c r="AK25" s="3">
        <f t="shared" ref="AK25" si="72">+AJ25*$AA$9</f>
        <v>100</v>
      </c>
      <c r="AL25" s="3">
        <v>8.3333333333333339</v>
      </c>
      <c r="AM25" s="3">
        <f t="shared" ref="AM25" si="73">+AL25*$AA$9</f>
        <v>100</v>
      </c>
      <c r="AN25" s="3">
        <v>8.3333333333333339</v>
      </c>
      <c r="AO25" s="3">
        <f t="shared" ref="AO25" si="74">+AN25*$AA$9</f>
        <v>100</v>
      </c>
    </row>
    <row r="26" spans="1:41" x14ac:dyDescent="0.25">
      <c r="A26" s="6" t="s">
        <v>26</v>
      </c>
      <c r="B26" s="42">
        <v>900</v>
      </c>
      <c r="C26" s="42">
        <v>100</v>
      </c>
      <c r="D26" s="42">
        <v>100</v>
      </c>
      <c r="E26" s="42">
        <v>100</v>
      </c>
      <c r="F26" s="47">
        <f t="shared" si="45"/>
        <v>1200</v>
      </c>
      <c r="G26" s="41">
        <v>1200</v>
      </c>
      <c r="H26" s="291">
        <v>1200</v>
      </c>
      <c r="I26" s="8">
        <f>100</f>
        <v>100</v>
      </c>
      <c r="J26" s="8">
        <f>100</f>
        <v>100</v>
      </c>
      <c r="K26" s="8">
        <f>100</f>
        <v>100</v>
      </c>
      <c r="L26" s="8">
        <f>100</f>
        <v>100</v>
      </c>
      <c r="M26" s="8">
        <f>100</f>
        <v>100</v>
      </c>
      <c r="N26" s="8">
        <f>100</f>
        <v>100</v>
      </c>
      <c r="O26" s="8">
        <f>100</f>
        <v>100</v>
      </c>
      <c r="P26" s="8">
        <f>100</f>
        <v>100</v>
      </c>
      <c r="Q26" s="8">
        <f>100</f>
        <v>100</v>
      </c>
      <c r="R26" s="8">
        <f>100</f>
        <v>100</v>
      </c>
      <c r="S26" s="8">
        <f>100</f>
        <v>100</v>
      </c>
      <c r="T26" s="8">
        <f>100</f>
        <v>100</v>
      </c>
      <c r="U26" s="38">
        <f>(((((((((((I26)+(J26))+(K26))+(L26))+(M26))+(N26))+(O26))+(P26))+(Q26))+(R26))+(S26))+(T26)</f>
        <v>1200</v>
      </c>
      <c r="V26" s="10">
        <f t="shared" si="2"/>
        <v>0</v>
      </c>
      <c r="W26" s="3">
        <f t="shared" si="47"/>
        <v>100</v>
      </c>
      <c r="Z26" s="3">
        <v>100</v>
      </c>
      <c r="AA26" s="3">
        <f t="shared" si="48"/>
        <v>1200</v>
      </c>
      <c r="AB26" s="3">
        <v>100</v>
      </c>
      <c r="AC26" s="3">
        <f t="shared" ref="AC26:AE26" si="75">+AB26*$AA$9</f>
        <v>1200</v>
      </c>
      <c r="AD26" s="3">
        <v>100</v>
      </c>
      <c r="AE26" s="3">
        <f t="shared" si="75"/>
        <v>1200</v>
      </c>
      <c r="AF26" s="3">
        <v>100</v>
      </c>
      <c r="AG26" s="3">
        <f t="shared" ref="AG26" si="76">+AF26*$AA$9</f>
        <v>1200</v>
      </c>
      <c r="AH26" s="3">
        <v>100</v>
      </c>
      <c r="AI26" s="3">
        <f t="shared" ref="AI26" si="77">+AH26*$AA$9</f>
        <v>1200</v>
      </c>
      <c r="AJ26" s="3">
        <v>100</v>
      </c>
      <c r="AK26" s="3">
        <f t="shared" ref="AK26" si="78">+AJ26*$AA$9</f>
        <v>1200</v>
      </c>
      <c r="AL26" s="3">
        <v>100</v>
      </c>
      <c r="AM26" s="3">
        <f t="shared" ref="AM26" si="79">+AL26*$AA$9</f>
        <v>1200</v>
      </c>
      <c r="AN26" s="3">
        <v>100</v>
      </c>
      <c r="AO26" s="3">
        <f t="shared" ref="AO26" si="80">+AN26*$AA$9</f>
        <v>1200</v>
      </c>
    </row>
    <row r="27" spans="1:41" x14ac:dyDescent="0.25">
      <c r="A27" s="6" t="s">
        <v>27</v>
      </c>
      <c r="B27" s="42"/>
      <c r="C27" s="42"/>
      <c r="D27" s="42">
        <v>250</v>
      </c>
      <c r="E27" s="42"/>
      <c r="F27" s="47">
        <f t="shared" si="45"/>
        <v>250</v>
      </c>
      <c r="G27" s="41">
        <v>6175</v>
      </c>
      <c r="H27" s="291">
        <v>3500</v>
      </c>
      <c r="I27" s="8">
        <f>3500/12</f>
        <v>291.66666666666669</v>
      </c>
      <c r="J27" s="8">
        <f t="shared" ref="J27:T27" si="81">3500/12</f>
        <v>291.66666666666669</v>
      </c>
      <c r="K27" s="8">
        <f t="shared" si="81"/>
        <v>291.66666666666669</v>
      </c>
      <c r="L27" s="8">
        <f t="shared" si="81"/>
        <v>291.66666666666669</v>
      </c>
      <c r="M27" s="8">
        <f t="shared" si="81"/>
        <v>291.66666666666669</v>
      </c>
      <c r="N27" s="8">
        <f t="shared" si="81"/>
        <v>291.66666666666669</v>
      </c>
      <c r="O27" s="8">
        <f t="shared" si="81"/>
        <v>291.66666666666669</v>
      </c>
      <c r="P27" s="8">
        <f t="shared" si="81"/>
        <v>291.66666666666669</v>
      </c>
      <c r="Q27" s="8">
        <f t="shared" si="81"/>
        <v>291.66666666666669</v>
      </c>
      <c r="R27" s="8">
        <f t="shared" si="81"/>
        <v>291.66666666666669</v>
      </c>
      <c r="S27" s="8">
        <f t="shared" si="81"/>
        <v>291.66666666666669</v>
      </c>
      <c r="T27" s="8">
        <f t="shared" si="81"/>
        <v>291.66666666666669</v>
      </c>
      <c r="U27" s="38">
        <v>3500</v>
      </c>
      <c r="V27" s="10">
        <f t="shared" si="2"/>
        <v>0</v>
      </c>
      <c r="W27" s="3">
        <f t="shared" si="47"/>
        <v>291.66666666666663</v>
      </c>
      <c r="Z27" s="3">
        <v>514.58333333333337</v>
      </c>
      <c r="AA27" s="3">
        <f t="shared" si="48"/>
        <v>6175</v>
      </c>
      <c r="AB27" s="3">
        <v>514.58333333333337</v>
      </c>
      <c r="AC27" s="3">
        <f t="shared" ref="AC27:AE27" si="82">+AB27*$AA$9</f>
        <v>6175</v>
      </c>
      <c r="AD27" s="3">
        <v>514.58333333333337</v>
      </c>
      <c r="AE27" s="3">
        <f t="shared" si="82"/>
        <v>6175</v>
      </c>
      <c r="AF27" s="3">
        <v>514.58333333333337</v>
      </c>
      <c r="AG27" s="3">
        <f t="shared" ref="AG27" si="83">+AF27*$AA$9</f>
        <v>6175</v>
      </c>
      <c r="AH27" s="3">
        <v>514.58333333333337</v>
      </c>
      <c r="AI27" s="3">
        <f t="shared" ref="AI27" si="84">+AH27*$AA$9</f>
        <v>6175</v>
      </c>
      <c r="AJ27" s="3">
        <v>514.58333333333337</v>
      </c>
      <c r="AK27" s="3">
        <f t="shared" ref="AK27" si="85">+AJ27*$AA$9</f>
        <v>6175</v>
      </c>
      <c r="AL27" s="3">
        <v>514.58333333333337</v>
      </c>
      <c r="AM27" s="3">
        <f t="shared" ref="AM27" si="86">+AL27*$AA$9</f>
        <v>6175</v>
      </c>
      <c r="AN27" s="3">
        <v>514.58333333333337</v>
      </c>
      <c r="AO27" s="3">
        <f t="shared" ref="AO27" si="87">+AN27*$AA$9</f>
        <v>6175</v>
      </c>
    </row>
    <row r="28" spans="1:41" x14ac:dyDescent="0.25">
      <c r="A28" s="6" t="s">
        <v>103</v>
      </c>
      <c r="B28" s="42">
        <v>847.14</v>
      </c>
      <c r="C28" s="42">
        <v>270.67</v>
      </c>
      <c r="D28" s="42">
        <v>0</v>
      </c>
      <c r="E28" s="42">
        <v>0</v>
      </c>
      <c r="F28" s="47">
        <f t="shared" si="45"/>
        <v>1117.81</v>
      </c>
      <c r="G28" s="41"/>
      <c r="H28" s="29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8"/>
      <c r="V28" s="10"/>
      <c r="W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25">
      <c r="A29" s="6" t="s">
        <v>28</v>
      </c>
      <c r="B29" s="42">
        <v>313.93</v>
      </c>
      <c r="C29" s="42">
        <v>283.25</v>
      </c>
      <c r="D29" s="42">
        <v>1500</v>
      </c>
      <c r="E29" s="42">
        <v>0</v>
      </c>
      <c r="F29" s="47">
        <f t="shared" si="45"/>
        <v>2097.1800000000003</v>
      </c>
      <c r="G29" s="41">
        <v>5000</v>
      </c>
      <c r="H29" s="291">
        <v>2500</v>
      </c>
      <c r="I29" s="8">
        <f>2500/12</f>
        <v>208.33333333333334</v>
      </c>
      <c r="J29" s="8">
        <f t="shared" ref="J29:AF29" si="88">2500/12</f>
        <v>208.33333333333334</v>
      </c>
      <c r="K29" s="8">
        <f t="shared" si="88"/>
        <v>208.33333333333334</v>
      </c>
      <c r="L29" s="8">
        <f t="shared" si="88"/>
        <v>208.33333333333334</v>
      </c>
      <c r="M29" s="8">
        <f t="shared" si="88"/>
        <v>208.33333333333334</v>
      </c>
      <c r="N29" s="8">
        <f t="shared" si="88"/>
        <v>208.33333333333334</v>
      </c>
      <c r="O29" s="8">
        <f t="shared" si="88"/>
        <v>208.33333333333334</v>
      </c>
      <c r="P29" s="8">
        <f t="shared" si="88"/>
        <v>208.33333333333334</v>
      </c>
      <c r="Q29" s="8">
        <f t="shared" si="88"/>
        <v>208.33333333333334</v>
      </c>
      <c r="R29" s="8">
        <f t="shared" si="88"/>
        <v>208.33333333333334</v>
      </c>
      <c r="S29" s="8">
        <f t="shared" si="88"/>
        <v>208.33333333333334</v>
      </c>
      <c r="T29" s="8">
        <f t="shared" si="88"/>
        <v>208.33333333333334</v>
      </c>
      <c r="U29" s="8">
        <f t="shared" si="88"/>
        <v>208.33333333333334</v>
      </c>
      <c r="V29" s="10">
        <f t="shared" si="2"/>
        <v>0</v>
      </c>
      <c r="W29" s="8">
        <f t="shared" si="88"/>
        <v>208.33333333333334</v>
      </c>
      <c r="X29" s="8">
        <f t="shared" si="88"/>
        <v>208.33333333333334</v>
      </c>
      <c r="Y29" s="8"/>
      <c r="Z29" s="8">
        <f t="shared" si="88"/>
        <v>208.33333333333334</v>
      </c>
      <c r="AA29" s="8">
        <f t="shared" si="88"/>
        <v>208.33333333333334</v>
      </c>
      <c r="AB29" s="8">
        <f t="shared" si="88"/>
        <v>208.33333333333334</v>
      </c>
      <c r="AC29" s="8">
        <f t="shared" si="88"/>
        <v>208.33333333333334</v>
      </c>
      <c r="AD29" s="8">
        <f t="shared" si="88"/>
        <v>208.33333333333334</v>
      </c>
      <c r="AE29" s="8">
        <f t="shared" si="88"/>
        <v>208.33333333333334</v>
      </c>
      <c r="AF29" s="8">
        <f t="shared" si="88"/>
        <v>208.33333333333334</v>
      </c>
      <c r="AG29" s="3">
        <f t="shared" ref="AG29" si="89">+AF29*$AA$9</f>
        <v>2500</v>
      </c>
      <c r="AH29" s="3">
        <v>416.66666666666669</v>
      </c>
      <c r="AI29" s="3">
        <f t="shared" ref="AI29" si="90">+AH29*$AA$9</f>
        <v>5000</v>
      </c>
      <c r="AJ29" s="3">
        <v>416.66666666666669</v>
      </c>
      <c r="AK29" s="3">
        <f t="shared" ref="AK29" si="91">+AJ29*$AA$9</f>
        <v>5000</v>
      </c>
      <c r="AL29" s="3">
        <v>416.66666666666669</v>
      </c>
      <c r="AM29" s="3">
        <f t="shared" ref="AM29" si="92">+AL29*$AA$9</f>
        <v>5000</v>
      </c>
      <c r="AN29" s="3">
        <v>416.66666666666669</v>
      </c>
      <c r="AO29" s="3">
        <f t="shared" ref="AO29" si="93">+AN29*$AA$9</f>
        <v>5000</v>
      </c>
    </row>
    <row r="30" spans="1:41" x14ac:dyDescent="0.25">
      <c r="A30" s="220" t="s">
        <v>72</v>
      </c>
      <c r="B30" s="42">
        <v>18000</v>
      </c>
      <c r="C30" s="42">
        <v>2000</v>
      </c>
      <c r="D30" s="42">
        <v>2000</v>
      </c>
      <c r="E30" s="42">
        <v>2000</v>
      </c>
      <c r="F30" s="47">
        <f t="shared" si="45"/>
        <v>24000</v>
      </c>
      <c r="G30" s="42">
        <v>29000</v>
      </c>
      <c r="H30" s="294">
        <v>26000</v>
      </c>
      <c r="I30" s="8">
        <f>26000/12</f>
        <v>2166.6666666666665</v>
      </c>
      <c r="J30" s="8">
        <f t="shared" ref="J30:T30" si="94">26000/12</f>
        <v>2166.6666666666665</v>
      </c>
      <c r="K30" s="8">
        <f t="shared" si="94"/>
        <v>2166.6666666666665</v>
      </c>
      <c r="L30" s="8">
        <f t="shared" si="94"/>
        <v>2166.6666666666665</v>
      </c>
      <c r="M30" s="8">
        <f t="shared" si="94"/>
        <v>2166.6666666666665</v>
      </c>
      <c r="N30" s="8">
        <f t="shared" si="94"/>
        <v>2166.6666666666665</v>
      </c>
      <c r="O30" s="8">
        <f t="shared" si="94"/>
        <v>2166.6666666666665</v>
      </c>
      <c r="P30" s="8">
        <f t="shared" si="94"/>
        <v>2166.6666666666665</v>
      </c>
      <c r="Q30" s="8">
        <f t="shared" si="94"/>
        <v>2166.6666666666665</v>
      </c>
      <c r="R30" s="8">
        <f t="shared" si="94"/>
        <v>2166.6666666666665</v>
      </c>
      <c r="S30" s="8">
        <f t="shared" si="94"/>
        <v>2166.6666666666665</v>
      </c>
      <c r="T30" s="8">
        <f t="shared" si="94"/>
        <v>2166.6666666666665</v>
      </c>
      <c r="U30" s="40">
        <v>26000</v>
      </c>
      <c r="V30" s="10">
        <f t="shared" si="2"/>
        <v>0</v>
      </c>
      <c r="W30" s="3">
        <f t="shared" si="47"/>
        <v>2166.666666666667</v>
      </c>
      <c r="Z30" s="3">
        <v>2416.6666666666665</v>
      </c>
      <c r="AA30" s="3">
        <f t="shared" si="48"/>
        <v>29000</v>
      </c>
      <c r="AB30" s="3">
        <v>2416.6666666666665</v>
      </c>
      <c r="AC30" s="3">
        <f t="shared" ref="AC30:AE30" si="95">+AB30*$AA$9</f>
        <v>29000</v>
      </c>
      <c r="AD30" s="3">
        <v>2416.6666666666665</v>
      </c>
      <c r="AE30" s="3">
        <f t="shared" si="95"/>
        <v>29000</v>
      </c>
      <c r="AF30" s="3">
        <v>2416.6666666666665</v>
      </c>
      <c r="AG30" s="3">
        <f t="shared" ref="AG30" si="96">+AF30*$AA$9</f>
        <v>29000</v>
      </c>
      <c r="AH30" s="3">
        <v>2416.6666666666665</v>
      </c>
      <c r="AI30" s="3">
        <f t="shared" ref="AI30" si="97">+AH30*$AA$9</f>
        <v>29000</v>
      </c>
      <c r="AJ30" s="3">
        <v>2416.6666666666665</v>
      </c>
      <c r="AK30" s="3">
        <f t="shared" ref="AK30" si="98">+AJ30*$AA$9</f>
        <v>29000</v>
      </c>
      <c r="AL30" s="3">
        <v>2416.6666666666665</v>
      </c>
      <c r="AM30" s="3">
        <f t="shared" ref="AM30" si="99">+AL30*$AA$9</f>
        <v>29000</v>
      </c>
      <c r="AN30" s="3">
        <v>2416.6666666666665</v>
      </c>
      <c r="AO30" s="3">
        <f t="shared" ref="AO30" si="100">+AN30*$AA$9</f>
        <v>29000</v>
      </c>
    </row>
    <row r="31" spans="1:41" x14ac:dyDescent="0.25">
      <c r="A31" s="6" t="s">
        <v>29</v>
      </c>
      <c r="B31" s="42"/>
      <c r="C31" s="42"/>
      <c r="D31" s="42"/>
      <c r="E31" s="42"/>
      <c r="F31" s="47">
        <f t="shared" si="45"/>
        <v>0</v>
      </c>
      <c r="G31" s="41">
        <v>50</v>
      </c>
      <c r="H31" s="291">
        <v>200</v>
      </c>
      <c r="I31" s="8">
        <f>+$H$31/12</f>
        <v>16.666666666666668</v>
      </c>
      <c r="J31" s="8">
        <f t="shared" ref="J31:T31" si="101">+$H$31/12</f>
        <v>16.666666666666668</v>
      </c>
      <c r="K31" s="8">
        <f t="shared" si="101"/>
        <v>16.666666666666668</v>
      </c>
      <c r="L31" s="8">
        <f t="shared" si="101"/>
        <v>16.666666666666668</v>
      </c>
      <c r="M31" s="8">
        <f t="shared" si="101"/>
        <v>16.666666666666668</v>
      </c>
      <c r="N31" s="8">
        <f t="shared" si="101"/>
        <v>16.666666666666668</v>
      </c>
      <c r="O31" s="8">
        <f t="shared" si="101"/>
        <v>16.666666666666668</v>
      </c>
      <c r="P31" s="8">
        <f t="shared" si="101"/>
        <v>16.666666666666668</v>
      </c>
      <c r="Q31" s="8">
        <f t="shared" si="101"/>
        <v>16.666666666666668</v>
      </c>
      <c r="R31" s="8">
        <f t="shared" si="101"/>
        <v>16.666666666666668</v>
      </c>
      <c r="S31" s="8">
        <f t="shared" si="101"/>
        <v>16.666666666666668</v>
      </c>
      <c r="T31" s="8">
        <f t="shared" si="101"/>
        <v>16.666666666666668</v>
      </c>
      <c r="U31" s="38">
        <f>(((((((((((I31)+(J31))+(K31))+(L31))+(M31))+(N31))+(O31))+(P31))+(Q31))+(R31))+(S31))+(T31)</f>
        <v>199.99999999999997</v>
      </c>
      <c r="V31" s="10">
        <f t="shared" si="2"/>
        <v>0</v>
      </c>
      <c r="W31" s="3">
        <f t="shared" si="47"/>
        <v>16.666666666666664</v>
      </c>
      <c r="Z31" s="3">
        <v>4.1666666666666679</v>
      </c>
      <c r="AA31" s="3">
        <f t="shared" si="48"/>
        <v>50.000000000000014</v>
      </c>
      <c r="AB31" s="3">
        <v>4.1666666666666679</v>
      </c>
      <c r="AC31" s="3">
        <f t="shared" ref="AC31:AE31" si="102">+AB31*$AA$9</f>
        <v>50.000000000000014</v>
      </c>
      <c r="AD31" s="3">
        <v>4.1666666666666679</v>
      </c>
      <c r="AE31" s="3">
        <f t="shared" si="102"/>
        <v>50.000000000000014</v>
      </c>
      <c r="AF31" s="3">
        <v>4.1666666666666679</v>
      </c>
      <c r="AG31" s="3">
        <f t="shared" ref="AG31" si="103">+AF31*$AA$9</f>
        <v>50.000000000000014</v>
      </c>
      <c r="AH31" s="3">
        <v>4.1666666666666679</v>
      </c>
      <c r="AI31" s="3">
        <f t="shared" ref="AI31" si="104">+AH31*$AA$9</f>
        <v>50.000000000000014</v>
      </c>
      <c r="AJ31" s="3">
        <v>4.1666666666666679</v>
      </c>
      <c r="AK31" s="3">
        <f t="shared" ref="AK31" si="105">+AJ31*$AA$9</f>
        <v>50.000000000000014</v>
      </c>
      <c r="AL31" s="3">
        <v>4.1666666666666679</v>
      </c>
      <c r="AM31" s="3">
        <f t="shared" ref="AM31" si="106">+AL31*$AA$9</f>
        <v>50.000000000000014</v>
      </c>
      <c r="AN31" s="3">
        <v>4.1666666666666679</v>
      </c>
      <c r="AO31" s="3">
        <f t="shared" ref="AO31" si="107">+AN31*$AA$9</f>
        <v>50.000000000000014</v>
      </c>
    </row>
    <row r="32" spans="1:41" x14ac:dyDescent="0.25">
      <c r="A32" s="6" t="s">
        <v>30</v>
      </c>
      <c r="B32" s="42">
        <v>900</v>
      </c>
      <c r="C32" s="42">
        <v>100</v>
      </c>
      <c r="D32" s="42">
        <v>100</v>
      </c>
      <c r="E32" s="42">
        <v>100</v>
      </c>
      <c r="F32" s="47">
        <f t="shared" si="45"/>
        <v>1200</v>
      </c>
      <c r="G32" s="41">
        <v>2000</v>
      </c>
      <c r="H32" s="291">
        <v>2000</v>
      </c>
      <c r="I32" s="8">
        <f t="shared" ref="I32:S32" si="108">166.67</f>
        <v>166.67</v>
      </c>
      <c r="J32" s="8">
        <f t="shared" si="108"/>
        <v>166.67</v>
      </c>
      <c r="K32" s="8">
        <f t="shared" si="108"/>
        <v>166.67</v>
      </c>
      <c r="L32" s="8">
        <f t="shared" si="108"/>
        <v>166.67</v>
      </c>
      <c r="M32" s="8">
        <f t="shared" si="108"/>
        <v>166.67</v>
      </c>
      <c r="N32" s="8">
        <f t="shared" si="108"/>
        <v>166.67</v>
      </c>
      <c r="O32" s="8">
        <f t="shared" si="108"/>
        <v>166.67</v>
      </c>
      <c r="P32" s="8">
        <f t="shared" si="108"/>
        <v>166.67</v>
      </c>
      <c r="Q32" s="8">
        <f t="shared" si="108"/>
        <v>166.67</v>
      </c>
      <c r="R32" s="8">
        <f t="shared" si="108"/>
        <v>166.67</v>
      </c>
      <c r="S32" s="8">
        <f t="shared" si="108"/>
        <v>166.67</v>
      </c>
      <c r="T32" s="8">
        <f>166.63</f>
        <v>166.63</v>
      </c>
      <c r="U32" s="38">
        <f>(((((((((((I32)+(J32))+(K32))+(L32))+(M32))+(N32))+(O32))+(P32))+(Q32))+(R32))+(S32))+(T32)</f>
        <v>2000</v>
      </c>
      <c r="V32" s="10">
        <f t="shared" si="2"/>
        <v>0</v>
      </c>
      <c r="W32" s="3">
        <f t="shared" si="47"/>
        <v>166.66666666666666</v>
      </c>
      <c r="Z32" s="3">
        <v>166.66666666666666</v>
      </c>
      <c r="AA32" s="3">
        <f t="shared" si="48"/>
        <v>2000</v>
      </c>
      <c r="AB32" s="3">
        <v>166.66666666666666</v>
      </c>
      <c r="AC32" s="3">
        <f t="shared" ref="AC32:AE32" si="109">+AB32*$AA$9</f>
        <v>2000</v>
      </c>
      <c r="AD32" s="3">
        <v>166.66666666666666</v>
      </c>
      <c r="AE32" s="3">
        <f t="shared" si="109"/>
        <v>2000</v>
      </c>
      <c r="AF32" s="3">
        <v>166.66666666666666</v>
      </c>
      <c r="AG32" s="3">
        <f t="shared" ref="AG32" si="110">+AF32*$AA$9</f>
        <v>2000</v>
      </c>
      <c r="AH32" s="3">
        <v>166.66666666666666</v>
      </c>
      <c r="AI32" s="3">
        <f t="shared" ref="AI32" si="111">+AH32*$AA$9</f>
        <v>2000</v>
      </c>
      <c r="AJ32" s="3">
        <v>166.66666666666666</v>
      </c>
      <c r="AK32" s="3">
        <f t="shared" ref="AK32" si="112">+AJ32*$AA$9</f>
        <v>2000</v>
      </c>
      <c r="AL32" s="3">
        <v>166.66666666666666</v>
      </c>
      <c r="AM32" s="3">
        <f t="shared" ref="AM32" si="113">+AL32*$AA$9</f>
        <v>2000</v>
      </c>
      <c r="AN32" s="3">
        <v>166.66666666666666</v>
      </c>
      <c r="AO32" s="3">
        <f t="shared" ref="AO32" si="114">+AN32*$AA$9</f>
        <v>2000</v>
      </c>
    </row>
    <row r="33" spans="1:41" x14ac:dyDescent="0.25">
      <c r="A33" s="6" t="s">
        <v>31</v>
      </c>
      <c r="B33" s="42"/>
      <c r="C33" s="42"/>
      <c r="D33" s="42"/>
      <c r="E33" s="42"/>
      <c r="F33" s="47">
        <f t="shared" si="45"/>
        <v>0</v>
      </c>
      <c r="G33" s="41">
        <v>500</v>
      </c>
      <c r="H33" s="291">
        <v>500.00000000000011</v>
      </c>
      <c r="I33" s="8">
        <f t="shared" ref="I33:S33" si="115">41.67</f>
        <v>41.67</v>
      </c>
      <c r="J33" s="8">
        <f t="shared" si="115"/>
        <v>41.67</v>
      </c>
      <c r="K33" s="8">
        <f t="shared" si="115"/>
        <v>41.67</v>
      </c>
      <c r="L33" s="8">
        <f t="shared" si="115"/>
        <v>41.67</v>
      </c>
      <c r="M33" s="8">
        <f t="shared" si="115"/>
        <v>41.67</v>
      </c>
      <c r="N33" s="8">
        <f t="shared" si="115"/>
        <v>41.67</v>
      </c>
      <c r="O33" s="8">
        <f t="shared" si="115"/>
        <v>41.67</v>
      </c>
      <c r="P33" s="8">
        <f t="shared" si="115"/>
        <v>41.67</v>
      </c>
      <c r="Q33" s="8">
        <f t="shared" si="115"/>
        <v>41.67</v>
      </c>
      <c r="R33" s="8">
        <f t="shared" si="115"/>
        <v>41.67</v>
      </c>
      <c r="S33" s="8">
        <f t="shared" si="115"/>
        <v>41.67</v>
      </c>
      <c r="T33" s="8">
        <f>41.63</f>
        <v>41.63</v>
      </c>
      <c r="U33" s="38">
        <f>(((((((((((I33)+(J33))+(K33))+(L33))+(M33))+(N33))+(O33))+(P33))+(Q33))+(R33))+(S33))+(T33)</f>
        <v>500.00000000000011</v>
      </c>
      <c r="V33" s="10">
        <f t="shared" si="2"/>
        <v>0</v>
      </c>
      <c r="W33" s="5">
        <f t="shared" si="47"/>
        <v>41.666666666666679</v>
      </c>
      <c r="Z33" s="5">
        <v>41.666666666666679</v>
      </c>
      <c r="AA33" s="5">
        <f t="shared" si="48"/>
        <v>500.00000000000011</v>
      </c>
      <c r="AB33" s="5">
        <v>41.666666666666679</v>
      </c>
      <c r="AC33" s="5">
        <f t="shared" ref="AC33:AE33" si="116">+AB33*$AA$9</f>
        <v>500.00000000000011</v>
      </c>
      <c r="AD33" s="5">
        <v>41.666666666666679</v>
      </c>
      <c r="AE33" s="5">
        <f t="shared" si="116"/>
        <v>500.00000000000011</v>
      </c>
      <c r="AF33" s="5">
        <v>41.666666666666679</v>
      </c>
      <c r="AG33" s="5">
        <f t="shared" ref="AG33" si="117">+AF33*$AA$9</f>
        <v>500.00000000000011</v>
      </c>
      <c r="AH33" s="5">
        <v>41.666666666666679</v>
      </c>
      <c r="AI33" s="5">
        <f t="shared" ref="AI33" si="118">+AH33*$AA$9</f>
        <v>500.00000000000011</v>
      </c>
      <c r="AJ33" s="5">
        <v>41.666666666666679</v>
      </c>
      <c r="AK33" s="5">
        <f t="shared" ref="AK33" si="119">+AJ33*$AA$9</f>
        <v>500.00000000000011</v>
      </c>
      <c r="AL33" s="5">
        <v>41.666666666666679</v>
      </c>
      <c r="AM33" s="5">
        <f t="shared" ref="AM33" si="120">+AL33*$AA$9</f>
        <v>500.00000000000011</v>
      </c>
      <c r="AN33" s="5">
        <v>41.666666666666679</v>
      </c>
      <c r="AO33" s="5">
        <f t="shared" ref="AO33" si="121">+AN33*$AA$9</f>
        <v>500.00000000000011</v>
      </c>
    </row>
    <row r="34" spans="1:41" x14ac:dyDescent="0.25">
      <c r="A34" s="6" t="s">
        <v>32</v>
      </c>
      <c r="B34" s="6"/>
      <c r="C34" s="6"/>
      <c r="D34" s="6"/>
      <c r="E34" s="6"/>
      <c r="F34" s="47">
        <f t="shared" si="45"/>
        <v>0</v>
      </c>
      <c r="G34" s="41"/>
      <c r="H34" s="291"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38">
        <f>(((((((((((I34)+(J34))+(K34))+(L34))+(M34))+(N34))+(O34))+(P34))+(Q34))+(R34))+(S34))+(T34)</f>
        <v>0</v>
      </c>
      <c r="V34" s="10">
        <f t="shared" si="2"/>
        <v>0</v>
      </c>
      <c r="W34" s="3">
        <f>SUM(W22:W33)</f>
        <v>4658.3333333333348</v>
      </c>
      <c r="X34" s="3">
        <f>-W34*12</f>
        <v>-55900.000000000015</v>
      </c>
      <c r="Z34" s="3">
        <f t="shared" ref="Z34" si="122">SUM(Z22:Z33)</f>
        <v>5710.4166666666679</v>
      </c>
      <c r="AA34" s="3">
        <f t="shared" ref="AA34" si="123">SUM(AA22:AA33)</f>
        <v>66233.333333333343</v>
      </c>
      <c r="AB34" s="3">
        <f t="shared" ref="AB34" si="124">SUM(AB22:AB33)</f>
        <v>5710.4166666666679</v>
      </c>
      <c r="AC34" s="3">
        <f t="shared" ref="AC34:AO34" si="125">SUM(AC22:AC33)</f>
        <v>66233.333333333343</v>
      </c>
      <c r="AD34" s="3">
        <f t="shared" ref="AD34" si="126">SUM(AD22:AD33)</f>
        <v>5710.4166666666679</v>
      </c>
      <c r="AE34" s="3">
        <f t="shared" si="125"/>
        <v>66233.333333333343</v>
      </c>
      <c r="AF34" s="3">
        <f t="shared" ref="AF34" si="127">SUM(AF22:AF33)</f>
        <v>5710.4166666666679</v>
      </c>
      <c r="AG34" s="3">
        <f t="shared" si="125"/>
        <v>68525</v>
      </c>
      <c r="AH34" s="3">
        <f t="shared" ref="AH34" si="128">SUM(AH22:AH33)</f>
        <v>5918.7500000000009</v>
      </c>
      <c r="AI34" s="3">
        <f t="shared" si="125"/>
        <v>71025</v>
      </c>
      <c r="AJ34" s="3">
        <f t="shared" ref="AJ34" si="129">SUM(AJ22:AJ33)</f>
        <v>5918.7500000000009</v>
      </c>
      <c r="AK34" s="3">
        <f t="shared" si="125"/>
        <v>71025</v>
      </c>
      <c r="AL34" s="3">
        <f t="shared" ref="AL34" si="130">SUM(AL22:AL33)</f>
        <v>5918.7500000000009</v>
      </c>
      <c r="AM34" s="3">
        <f t="shared" si="125"/>
        <v>71025</v>
      </c>
      <c r="AN34" s="3">
        <f t="shared" ref="AN34" si="131">SUM(AN22:AN33)</f>
        <v>5918.7500000000009</v>
      </c>
      <c r="AO34" s="3">
        <f t="shared" si="125"/>
        <v>71025</v>
      </c>
    </row>
    <row r="35" spans="1:41" ht="15.75" thickBot="1" x14ac:dyDescent="0.3">
      <c r="A35" s="6" t="s">
        <v>104</v>
      </c>
      <c r="B35" s="41">
        <v>4695.88</v>
      </c>
      <c r="C35" s="41">
        <v>393</v>
      </c>
      <c r="D35" s="41"/>
      <c r="E35" s="41"/>
      <c r="F35" s="47">
        <f t="shared" si="45"/>
        <v>5088.88</v>
      </c>
      <c r="G35" s="41"/>
      <c r="H35" s="291">
        <f>300*12</f>
        <v>3600</v>
      </c>
      <c r="I35" s="7">
        <f>+$H$35/12</f>
        <v>300</v>
      </c>
      <c r="J35" s="7">
        <f t="shared" ref="J35:U35" si="132">+$H$35/12</f>
        <v>300</v>
      </c>
      <c r="K35" s="7">
        <f t="shared" si="132"/>
        <v>300</v>
      </c>
      <c r="L35" s="7">
        <f t="shared" si="132"/>
        <v>300</v>
      </c>
      <c r="M35" s="7">
        <f t="shared" si="132"/>
        <v>300</v>
      </c>
      <c r="N35" s="7">
        <f t="shared" si="132"/>
        <v>300</v>
      </c>
      <c r="O35" s="7">
        <f t="shared" si="132"/>
        <v>300</v>
      </c>
      <c r="P35" s="7">
        <f t="shared" si="132"/>
        <v>300</v>
      </c>
      <c r="Q35" s="7">
        <f t="shared" si="132"/>
        <v>300</v>
      </c>
      <c r="R35" s="7">
        <f t="shared" si="132"/>
        <v>300</v>
      </c>
      <c r="S35" s="7">
        <f t="shared" si="132"/>
        <v>300</v>
      </c>
      <c r="T35" s="7">
        <f t="shared" si="132"/>
        <v>300</v>
      </c>
      <c r="U35" s="7">
        <f t="shared" si="132"/>
        <v>300</v>
      </c>
      <c r="V35" s="10">
        <f t="shared" si="2"/>
        <v>0</v>
      </c>
      <c r="W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5.75" thickBot="1" x14ac:dyDescent="0.3">
      <c r="A36" s="6" t="s">
        <v>33</v>
      </c>
      <c r="B36" s="41">
        <v>99580.9</v>
      </c>
      <c r="C36" s="41">
        <v>10700.2</v>
      </c>
      <c r="D36" s="271">
        <v>9000</v>
      </c>
      <c r="E36" s="272">
        <v>9000</v>
      </c>
      <c r="F36" s="47">
        <f t="shared" si="45"/>
        <v>128281.09999999999</v>
      </c>
      <c r="G36" s="41">
        <v>140977</v>
      </c>
      <c r="H36" s="291">
        <f>+Compensation!AA9</f>
        <v>156687.35999999999</v>
      </c>
      <c r="I36" s="8">
        <f>Compensation!N9</f>
        <v>10760.279999999999</v>
      </c>
      <c r="J36" s="8">
        <f>Compensation!O9</f>
        <v>10760.279999999999</v>
      </c>
      <c r="K36" s="8">
        <f>Compensation!P9</f>
        <v>11760.279999999999</v>
      </c>
      <c r="L36" s="8">
        <f>Compensation!Q9</f>
        <v>16835.596666666668</v>
      </c>
      <c r="M36" s="8">
        <f>Compensation!R9</f>
        <v>14713.796666666665</v>
      </c>
      <c r="N36" s="8">
        <f>Compensation!S9</f>
        <v>13122.446666666667</v>
      </c>
      <c r="O36" s="8">
        <f>Compensation!T9</f>
        <v>13122.446666666667</v>
      </c>
      <c r="P36" s="8">
        <f>Compensation!U9</f>
        <v>13122.446666666667</v>
      </c>
      <c r="Q36" s="8">
        <f>Compensation!V9</f>
        <v>13122.446666666667</v>
      </c>
      <c r="R36" s="8">
        <f>Compensation!W9</f>
        <v>13122.446666666667</v>
      </c>
      <c r="S36" s="8">
        <f>Compensation!X9</f>
        <v>13122.446666666667</v>
      </c>
      <c r="T36" s="8">
        <f>Compensation!Y9</f>
        <v>13122.446666666667</v>
      </c>
      <c r="U36" s="38">
        <f>(((((((((((I36)+(J36))+(K36))+(L36))+(M36))+(N36))+(O36))+(P36))+(Q36))+(R36))+(S36))+(T36)</f>
        <v>156687.35999999999</v>
      </c>
      <c r="V36" s="10">
        <f t="shared" si="2"/>
        <v>0</v>
      </c>
      <c r="W36" s="3">
        <f>AVERAGE(I36:T36)</f>
        <v>13057.279999999999</v>
      </c>
      <c r="Y36" s="10" t="e">
        <f>+Compensation!#REF!</f>
        <v>#REF!</v>
      </c>
      <c r="Z36" s="3" t="e">
        <f>+Y36/12</f>
        <v>#REF!</v>
      </c>
      <c r="AA36" s="3" t="e">
        <f>+Z36*$AA$9</f>
        <v>#REF!</v>
      </c>
      <c r="AB36" s="3" t="e">
        <f>+Z36</f>
        <v>#REF!</v>
      </c>
      <c r="AC36" s="3" t="e">
        <f t="shared" ref="AC36:AE38" si="133">+AB36*$AA$9</f>
        <v>#REF!</v>
      </c>
      <c r="AD36" s="3" t="e">
        <f>+AB36</f>
        <v>#REF!</v>
      </c>
      <c r="AE36" s="3" t="e">
        <f t="shared" si="133"/>
        <v>#REF!</v>
      </c>
      <c r="AF36" s="3" t="e">
        <f>+AD36</f>
        <v>#REF!</v>
      </c>
      <c r="AG36" s="3" t="e">
        <f t="shared" ref="AG36:AG37" si="134">+AF36*$AA$9</f>
        <v>#REF!</v>
      </c>
      <c r="AH36" s="3" t="e">
        <f>+AF36</f>
        <v>#REF!</v>
      </c>
      <c r="AI36" s="3" t="e">
        <f t="shared" ref="AI36:AI37" si="135">+AH36*$AA$9</f>
        <v>#REF!</v>
      </c>
      <c r="AJ36" s="3" t="e">
        <f>+AH36</f>
        <v>#REF!</v>
      </c>
      <c r="AK36" s="3" t="e">
        <f t="shared" ref="AK36:AK37" si="136">+AJ36*$AA$9</f>
        <v>#REF!</v>
      </c>
      <c r="AL36" s="3" t="e">
        <f>+AJ36</f>
        <v>#REF!</v>
      </c>
      <c r="AM36" s="3" t="e">
        <f t="shared" ref="AM36:AM37" si="137">+AL36*$AA$9</f>
        <v>#REF!</v>
      </c>
      <c r="AN36" s="3" t="e">
        <f>+AL36</f>
        <v>#REF!</v>
      </c>
      <c r="AO36" s="3" t="e">
        <f t="shared" ref="AO36:AO37" si="138">+AN36*$AA$9</f>
        <v>#REF!</v>
      </c>
    </row>
    <row r="37" spans="1:41" x14ac:dyDescent="0.25">
      <c r="A37" s="6" t="s">
        <v>66</v>
      </c>
      <c r="B37" s="41">
        <v>0</v>
      </c>
      <c r="C37" s="41"/>
      <c r="D37" s="41"/>
      <c r="E37" s="41"/>
      <c r="F37" s="47">
        <f t="shared" si="45"/>
        <v>0</v>
      </c>
      <c r="G37" s="41">
        <v>0</v>
      </c>
      <c r="H37" s="291">
        <v>9000</v>
      </c>
      <c r="I37" s="8"/>
      <c r="J37" s="8"/>
      <c r="K37" s="8"/>
      <c r="L37" s="8">
        <f>+$H$37/9</f>
        <v>1000</v>
      </c>
      <c r="M37" s="8">
        <f t="shared" ref="M37:T37" si="139">+$H$37/9</f>
        <v>1000</v>
      </c>
      <c r="N37" s="8">
        <f t="shared" si="139"/>
        <v>1000</v>
      </c>
      <c r="O37" s="8">
        <f t="shared" si="139"/>
        <v>1000</v>
      </c>
      <c r="P37" s="8">
        <f t="shared" si="139"/>
        <v>1000</v>
      </c>
      <c r="Q37" s="8">
        <f t="shared" si="139"/>
        <v>1000</v>
      </c>
      <c r="R37" s="8">
        <f t="shared" si="139"/>
        <v>1000</v>
      </c>
      <c r="S37" s="8">
        <f t="shared" si="139"/>
        <v>1000</v>
      </c>
      <c r="T37" s="8">
        <f t="shared" si="139"/>
        <v>1000</v>
      </c>
      <c r="U37" s="38"/>
      <c r="V37" s="10">
        <f>H37-(SUM(I37:T37))</f>
        <v>0</v>
      </c>
      <c r="W37" s="3"/>
      <c r="Y37" s="10" t="e">
        <f>+Compensation!#REF!</f>
        <v>#REF!</v>
      </c>
      <c r="Z37" s="3" t="e">
        <f>+Y37</f>
        <v>#REF!</v>
      </c>
      <c r="AA37" s="3" t="e">
        <f>+Z37*$AA$9</f>
        <v>#REF!</v>
      </c>
      <c r="AB37" s="3" t="e">
        <f>+Y37</f>
        <v>#REF!</v>
      </c>
      <c r="AC37" s="3" t="e">
        <f t="shared" si="133"/>
        <v>#REF!</v>
      </c>
      <c r="AD37" s="3" t="e">
        <f>+Y37</f>
        <v>#REF!</v>
      </c>
      <c r="AE37" s="3" t="e">
        <f t="shared" si="133"/>
        <v>#REF!</v>
      </c>
      <c r="AF37" s="3">
        <v>1680</v>
      </c>
      <c r="AG37" s="3">
        <f t="shared" si="134"/>
        <v>20160</v>
      </c>
      <c r="AH37" s="3">
        <v>1680</v>
      </c>
      <c r="AI37" s="3">
        <f t="shared" si="135"/>
        <v>20160</v>
      </c>
      <c r="AJ37" s="3">
        <v>1680</v>
      </c>
      <c r="AK37" s="3">
        <f t="shared" si="136"/>
        <v>20160</v>
      </c>
      <c r="AL37" s="3">
        <v>1680</v>
      </c>
      <c r="AM37" s="3">
        <f t="shared" si="137"/>
        <v>20160</v>
      </c>
      <c r="AN37" s="3">
        <v>1680</v>
      </c>
      <c r="AO37" s="3">
        <f t="shared" si="138"/>
        <v>20160</v>
      </c>
    </row>
    <row r="38" spans="1:41" x14ac:dyDescent="0.25">
      <c r="A38" s="6" t="s">
        <v>34</v>
      </c>
      <c r="B38" s="41">
        <v>664.76</v>
      </c>
      <c r="C38" s="41">
        <v>75</v>
      </c>
      <c r="D38" s="41"/>
      <c r="E38" s="41"/>
      <c r="F38" s="47">
        <f t="shared" si="45"/>
        <v>739.76</v>
      </c>
      <c r="G38" s="41">
        <v>1000</v>
      </c>
      <c r="H38" s="291">
        <v>1000.0000000000001</v>
      </c>
      <c r="I38" s="8">
        <f t="shared" ref="I38:S38" si="140">83.33</f>
        <v>83.33</v>
      </c>
      <c r="J38" s="8">
        <f t="shared" si="140"/>
        <v>83.33</v>
      </c>
      <c r="K38" s="8">
        <f t="shared" si="140"/>
        <v>83.33</v>
      </c>
      <c r="L38" s="8">
        <f t="shared" si="140"/>
        <v>83.33</v>
      </c>
      <c r="M38" s="8">
        <f t="shared" si="140"/>
        <v>83.33</v>
      </c>
      <c r="N38" s="8">
        <f t="shared" si="140"/>
        <v>83.33</v>
      </c>
      <c r="O38" s="8">
        <f t="shared" si="140"/>
        <v>83.33</v>
      </c>
      <c r="P38" s="8">
        <f t="shared" si="140"/>
        <v>83.33</v>
      </c>
      <c r="Q38" s="8">
        <f t="shared" si="140"/>
        <v>83.33</v>
      </c>
      <c r="R38" s="8">
        <f t="shared" si="140"/>
        <v>83.33</v>
      </c>
      <c r="S38" s="8">
        <f t="shared" si="140"/>
        <v>83.33</v>
      </c>
      <c r="T38" s="8">
        <f>83.37</f>
        <v>83.37</v>
      </c>
      <c r="U38" s="38">
        <f>(((((((((((I38)+(J38))+(K38))+(L38))+(M38))+(N38))+(O38))+(P38))+(Q38))+(R38))+(S38))+(T38)</f>
        <v>1000.0000000000001</v>
      </c>
      <c r="V38" s="10">
        <f t="shared" si="2"/>
        <v>0</v>
      </c>
      <c r="W38" s="3">
        <f>AVERAGE(I38:T38)</f>
        <v>83.333333333333343</v>
      </c>
      <c r="Z38" s="3">
        <v>83.333333333333343</v>
      </c>
      <c r="AA38" s="3">
        <f t="shared" ref="AA38" si="141">+Z38*$AA$9</f>
        <v>1000.0000000000001</v>
      </c>
      <c r="AB38" s="3">
        <v>83.333333333333343</v>
      </c>
      <c r="AC38" s="3">
        <f t="shared" si="133"/>
        <v>1000.0000000000001</v>
      </c>
      <c r="AD38" s="3">
        <v>83.333333333333343</v>
      </c>
      <c r="AE38" s="3">
        <f t="shared" si="133"/>
        <v>1000.0000000000001</v>
      </c>
      <c r="AF38" s="3">
        <v>83.333333333333343</v>
      </c>
      <c r="AG38" s="3">
        <f t="shared" ref="AG38:AG39" si="142">+AF38*$AA$9</f>
        <v>1000.0000000000001</v>
      </c>
      <c r="AH38" s="3">
        <v>83.333333333333343</v>
      </c>
      <c r="AI38" s="3">
        <f t="shared" ref="AI38:AI39" si="143">+AH38*$AA$9</f>
        <v>1000.0000000000001</v>
      </c>
      <c r="AJ38" s="3">
        <v>83.333333333333343</v>
      </c>
      <c r="AK38" s="3">
        <f t="shared" ref="AK38:AK39" si="144">+AJ38*$AA$9</f>
        <v>1000.0000000000001</v>
      </c>
      <c r="AL38" s="3">
        <v>83.333333333333343</v>
      </c>
      <c r="AM38" s="3">
        <f t="shared" ref="AM38:AM39" si="145">+AL38*$AA$9</f>
        <v>1000.0000000000001</v>
      </c>
      <c r="AN38" s="3">
        <v>83.333333333333343</v>
      </c>
      <c r="AO38" s="3">
        <f t="shared" ref="AO38:AO39" si="146">+AN38*$AA$9</f>
        <v>1000.0000000000001</v>
      </c>
    </row>
    <row r="39" spans="1:41" x14ac:dyDescent="0.25">
      <c r="A39" s="6" t="s">
        <v>35</v>
      </c>
      <c r="B39" s="41">
        <v>10512.12</v>
      </c>
      <c r="C39" s="41">
        <v>1235.8800000000001</v>
      </c>
      <c r="D39" s="41">
        <f>+D36*0.1</f>
        <v>900</v>
      </c>
      <c r="E39" s="41">
        <f>+E36*0.1</f>
        <v>900</v>
      </c>
      <c r="F39" s="47">
        <f t="shared" si="45"/>
        <v>13548</v>
      </c>
      <c r="G39" s="41">
        <v>14098</v>
      </c>
      <c r="H39" s="292">
        <f>+Compensation!AA10</f>
        <v>15668.736000000004</v>
      </c>
      <c r="I39" s="8">
        <f>Compensation!N10</f>
        <v>1076.028</v>
      </c>
      <c r="J39" s="8">
        <f>Compensation!O10</f>
        <v>1076.028</v>
      </c>
      <c r="K39" s="8">
        <f>Compensation!P10</f>
        <v>1176.028</v>
      </c>
      <c r="L39" s="8">
        <f>Compensation!Q10</f>
        <v>1683.559666666667</v>
      </c>
      <c r="M39" s="8">
        <f>Compensation!R10</f>
        <v>1471.3796666666667</v>
      </c>
      <c r="N39" s="8">
        <f>Compensation!S10</f>
        <v>1312.2446666666667</v>
      </c>
      <c r="O39" s="8">
        <f>Compensation!T10</f>
        <v>1312.2446666666667</v>
      </c>
      <c r="P39" s="8">
        <f>Compensation!U10</f>
        <v>1312.2446666666667</v>
      </c>
      <c r="Q39" s="8">
        <f>Compensation!V10</f>
        <v>1312.2446666666667</v>
      </c>
      <c r="R39" s="8">
        <f>Compensation!W10</f>
        <v>1312.2446666666667</v>
      </c>
      <c r="S39" s="8">
        <f>Compensation!X10</f>
        <v>1312.2446666666667</v>
      </c>
      <c r="T39" s="8">
        <f>Compensation!Y10</f>
        <v>1312.2446666666667</v>
      </c>
      <c r="U39" s="38">
        <f>(((((((((((I39)+(J39))+(K39))+(L39))+(M39))+(N39))+(O39))+(P39))+(Q39))+(R39))+(S39))+(T39)</f>
        <v>15668.736000000004</v>
      </c>
      <c r="V39" s="10">
        <f t="shared" si="2"/>
        <v>0</v>
      </c>
      <c r="W39" s="5">
        <f>AVERAGE(I39:T39)</f>
        <v>1305.7280000000003</v>
      </c>
      <c r="Y39" s="10" t="e">
        <f>+Compensation!#REF!</f>
        <v>#REF!</v>
      </c>
      <c r="Z39" s="3" t="e">
        <f>+Y39/12</f>
        <v>#REF!</v>
      </c>
      <c r="AA39" s="3" t="e">
        <f>+Z39*$AA$9</f>
        <v>#REF!</v>
      </c>
      <c r="AB39" s="3" t="e">
        <f>+Z39</f>
        <v>#REF!</v>
      </c>
      <c r="AC39" s="3" t="e">
        <f t="shared" ref="AC39" si="147">+AB39*$AA$9</f>
        <v>#REF!</v>
      </c>
      <c r="AD39" s="3" t="e">
        <f>+AB39</f>
        <v>#REF!</v>
      </c>
      <c r="AE39" s="3" t="e">
        <f t="shared" ref="AE39" si="148">+AD39*$AA$9</f>
        <v>#REF!</v>
      </c>
      <c r="AF39" s="3" t="e">
        <f>+AD39</f>
        <v>#REF!</v>
      </c>
      <c r="AG39" s="3" t="e">
        <f t="shared" si="142"/>
        <v>#REF!</v>
      </c>
      <c r="AH39" s="3" t="e">
        <f>+AF39</f>
        <v>#REF!</v>
      </c>
      <c r="AI39" s="3" t="e">
        <f t="shared" si="143"/>
        <v>#REF!</v>
      </c>
      <c r="AJ39" s="3" t="e">
        <f>+AH39</f>
        <v>#REF!</v>
      </c>
      <c r="AK39" s="3" t="e">
        <f t="shared" si="144"/>
        <v>#REF!</v>
      </c>
      <c r="AL39" s="3" t="e">
        <f>+AJ39</f>
        <v>#REF!</v>
      </c>
      <c r="AM39" s="3" t="e">
        <f t="shared" si="145"/>
        <v>#REF!</v>
      </c>
      <c r="AN39" s="3" t="e">
        <f>+AL39</f>
        <v>#REF!</v>
      </c>
      <c r="AO39" s="3" t="e">
        <f t="shared" si="146"/>
        <v>#REF!</v>
      </c>
    </row>
    <row r="40" spans="1:41" x14ac:dyDescent="0.25">
      <c r="A40" s="6" t="s">
        <v>36</v>
      </c>
      <c r="B40" s="9">
        <f t="shared" ref="B40:G40" si="149">(((B34)+(B36))+(B38))+(B39)+B35+B37</f>
        <v>115453.65999999999</v>
      </c>
      <c r="C40" s="9">
        <f t="shared" si="149"/>
        <v>12404.080000000002</v>
      </c>
      <c r="D40" s="9">
        <f t="shared" si="149"/>
        <v>9900</v>
      </c>
      <c r="E40" s="9">
        <f t="shared" si="149"/>
        <v>9900</v>
      </c>
      <c r="F40" s="9">
        <f t="shared" si="149"/>
        <v>147657.74</v>
      </c>
      <c r="G40" s="9">
        <f t="shared" si="149"/>
        <v>156075</v>
      </c>
      <c r="H40" s="293">
        <f>(((H34)+(H36))+(H38))+(H39)+H35+H37</f>
        <v>185956.09599999999</v>
      </c>
      <c r="I40" s="9">
        <f t="shared" ref="I40:T40" si="150">(((I34)+(I36))+(I38))+(I39)+I35+I37</f>
        <v>12219.637999999999</v>
      </c>
      <c r="J40" s="9">
        <f t="shared" si="150"/>
        <v>12219.637999999999</v>
      </c>
      <c r="K40" s="9">
        <f t="shared" si="150"/>
        <v>13319.637999999999</v>
      </c>
      <c r="L40" s="9">
        <f t="shared" si="150"/>
        <v>19902.486333333338</v>
      </c>
      <c r="M40" s="9">
        <f t="shared" si="150"/>
        <v>17568.506333333331</v>
      </c>
      <c r="N40" s="9">
        <f t="shared" si="150"/>
        <v>15818.021333333334</v>
      </c>
      <c r="O40" s="9">
        <f t="shared" si="150"/>
        <v>15818.021333333334</v>
      </c>
      <c r="P40" s="9">
        <f t="shared" si="150"/>
        <v>15818.021333333334</v>
      </c>
      <c r="Q40" s="9">
        <f t="shared" si="150"/>
        <v>15818.021333333334</v>
      </c>
      <c r="R40" s="9">
        <f t="shared" si="150"/>
        <v>15818.021333333334</v>
      </c>
      <c r="S40" s="9">
        <f t="shared" si="150"/>
        <v>15818.021333333334</v>
      </c>
      <c r="T40" s="9">
        <f t="shared" si="150"/>
        <v>15818.061333333335</v>
      </c>
      <c r="U40" s="39">
        <f>(((((((((((I40)+(J40))+(K40))+(L40))+(M40))+(N40))+(O40))+(P40))+(Q40))+(R40))+(S40))+(T40)</f>
        <v>185956.09600000005</v>
      </c>
      <c r="V40" s="10">
        <f>H40-(SUM(I40:T40))</f>
        <v>0</v>
      </c>
      <c r="W40" s="10">
        <f>SUM(W36:W39)</f>
        <v>14446.341333333334</v>
      </c>
      <c r="X40" s="3">
        <f>-W40*12</f>
        <v>-173356.09600000002</v>
      </c>
      <c r="Z40" s="10" t="e">
        <f>SUM(Z36:Z39)</f>
        <v>#REF!</v>
      </c>
      <c r="AA40" s="10" t="e">
        <f t="shared" ref="AA40:AO40" si="151">SUM(AA36:AA39)</f>
        <v>#REF!</v>
      </c>
      <c r="AB40" s="10" t="e">
        <f t="shared" si="151"/>
        <v>#REF!</v>
      </c>
      <c r="AC40" s="10" t="e">
        <f t="shared" si="151"/>
        <v>#REF!</v>
      </c>
      <c r="AD40" s="10" t="e">
        <f t="shared" si="151"/>
        <v>#REF!</v>
      </c>
      <c r="AE40" s="10" t="e">
        <f t="shared" si="151"/>
        <v>#REF!</v>
      </c>
      <c r="AF40" s="10" t="e">
        <f t="shared" si="151"/>
        <v>#REF!</v>
      </c>
      <c r="AG40" s="10" t="e">
        <f t="shared" si="151"/>
        <v>#REF!</v>
      </c>
      <c r="AH40" s="10" t="e">
        <f t="shared" si="151"/>
        <v>#REF!</v>
      </c>
      <c r="AI40" s="10" t="e">
        <f t="shared" si="151"/>
        <v>#REF!</v>
      </c>
      <c r="AJ40" s="10" t="e">
        <f t="shared" si="151"/>
        <v>#REF!</v>
      </c>
      <c r="AK40" s="10" t="e">
        <f t="shared" si="151"/>
        <v>#REF!</v>
      </c>
      <c r="AL40" s="10" t="e">
        <f t="shared" si="151"/>
        <v>#REF!</v>
      </c>
      <c r="AM40" s="10" t="e">
        <f t="shared" si="151"/>
        <v>#REF!</v>
      </c>
      <c r="AN40" s="10" t="e">
        <f t="shared" si="151"/>
        <v>#REF!</v>
      </c>
      <c r="AO40" s="10" t="e">
        <f t="shared" si="151"/>
        <v>#REF!</v>
      </c>
    </row>
    <row r="41" spans="1:41" x14ac:dyDescent="0.25">
      <c r="A41" s="6" t="s">
        <v>37</v>
      </c>
      <c r="B41" s="6"/>
      <c r="C41" s="6"/>
      <c r="D41" s="6"/>
      <c r="E41" s="6"/>
      <c r="F41" s="6"/>
      <c r="G41" s="6"/>
      <c r="H41" s="291">
        <v>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38">
        <f>(((((((((((I41)+(J41))+(K41))+(L41))+(M41))+(N41))+(O41))+(P41))+(Q41))+(R41))+(S41))+(T41)</f>
        <v>0</v>
      </c>
      <c r="V41" s="10">
        <f t="shared" si="2"/>
        <v>0</v>
      </c>
    </row>
    <row r="42" spans="1:41" x14ac:dyDescent="0.25">
      <c r="A42" s="6" t="s">
        <v>38</v>
      </c>
      <c r="B42" s="41">
        <v>19800</v>
      </c>
      <c r="C42" s="41">
        <v>2200</v>
      </c>
      <c r="D42" s="41">
        <v>2200</v>
      </c>
      <c r="E42" s="41">
        <v>2200</v>
      </c>
      <c r="F42" s="47">
        <f>SUM(B42:E42)</f>
        <v>26400</v>
      </c>
      <c r="G42" s="41">
        <v>26400</v>
      </c>
      <c r="H42" s="291">
        <f>2200*12</f>
        <v>26400</v>
      </c>
      <c r="I42" s="8">
        <f>2200</f>
        <v>2200</v>
      </c>
      <c r="J42" s="8">
        <f>2200</f>
        <v>2200</v>
      </c>
      <c r="K42" s="8">
        <f>2200</f>
        <v>2200</v>
      </c>
      <c r="L42" s="8">
        <f>2200</f>
        <v>2200</v>
      </c>
      <c r="M42" s="8">
        <f>2200</f>
        <v>2200</v>
      </c>
      <c r="N42" s="8">
        <f>2200</f>
        <v>2200</v>
      </c>
      <c r="O42" s="8">
        <f>2200</f>
        <v>2200</v>
      </c>
      <c r="P42" s="8">
        <f>2200</f>
        <v>2200</v>
      </c>
      <c r="Q42" s="8">
        <f>2200</f>
        <v>2200</v>
      </c>
      <c r="R42" s="8">
        <f>2200</f>
        <v>2200</v>
      </c>
      <c r="S42" s="8">
        <f>2200</f>
        <v>2200</v>
      </c>
      <c r="T42" s="8">
        <f>2200</f>
        <v>2200</v>
      </c>
      <c r="U42" s="38">
        <f>(((((((((((I42)+(J42))+(K42))+(L42))+(M42))+(N42))+(O42))+(P42))+(Q42))+(R42))+(S42))+(T42)</f>
        <v>26400</v>
      </c>
      <c r="V42" s="10">
        <f t="shared" si="2"/>
        <v>0</v>
      </c>
      <c r="W42" s="3">
        <f>AVERAGE(I42:T42)</f>
        <v>2200</v>
      </c>
      <c r="Z42" s="3">
        <v>2200</v>
      </c>
      <c r="AA42" s="3">
        <f t="shared" ref="AA42:AA44" si="152">+Z42*$AA$9</f>
        <v>26400</v>
      </c>
      <c r="AB42" s="3">
        <v>2200</v>
      </c>
      <c r="AC42" s="3">
        <f t="shared" ref="AC42:AE44" si="153">+AB42*$AA$9</f>
        <v>26400</v>
      </c>
      <c r="AD42" s="3">
        <v>2200</v>
      </c>
      <c r="AE42" s="3">
        <f t="shared" si="153"/>
        <v>26400</v>
      </c>
      <c r="AF42" s="3">
        <v>2200</v>
      </c>
      <c r="AG42" s="3">
        <f t="shared" ref="AG42" si="154">+AF42*$AA$9</f>
        <v>26400</v>
      </c>
      <c r="AH42" s="3">
        <v>2200</v>
      </c>
      <c r="AI42" s="3">
        <f t="shared" ref="AI42" si="155">+AH42*$AA$9</f>
        <v>26400</v>
      </c>
      <c r="AJ42" s="3">
        <v>2200</v>
      </c>
      <c r="AK42" s="3">
        <f t="shared" ref="AK42" si="156">+AJ42*$AA$9</f>
        <v>26400</v>
      </c>
      <c r="AL42" s="3">
        <v>2200</v>
      </c>
      <c r="AM42" s="3">
        <f t="shared" ref="AM42" si="157">+AL42*$AA$9</f>
        <v>26400</v>
      </c>
      <c r="AN42" s="3">
        <v>2200</v>
      </c>
      <c r="AO42" s="3">
        <f t="shared" ref="AO42" si="158">+AN42*$AA$9</f>
        <v>26400</v>
      </c>
    </row>
    <row r="43" spans="1:41" x14ac:dyDescent="0.25">
      <c r="A43" s="6" t="s">
        <v>39</v>
      </c>
      <c r="B43" s="41">
        <v>12500</v>
      </c>
      <c r="C43" s="41"/>
      <c r="D43" s="41"/>
      <c r="E43" s="41"/>
      <c r="F43" s="47">
        <f>SUM(B43:E43)</f>
        <v>12500</v>
      </c>
      <c r="G43" s="41">
        <v>9500</v>
      </c>
      <c r="H43" s="291">
        <v>12500</v>
      </c>
      <c r="I43" s="8">
        <f>0</f>
        <v>0</v>
      </c>
      <c r="J43" s="8">
        <f>0</f>
        <v>0</v>
      </c>
      <c r="K43" s="8">
        <f>0</f>
        <v>0</v>
      </c>
      <c r="L43" s="8">
        <f>0</f>
        <v>0</v>
      </c>
      <c r="M43" s="8">
        <f>2000</f>
        <v>2000</v>
      </c>
      <c r="N43" s="8">
        <f>0</f>
        <v>0</v>
      </c>
      <c r="O43" s="8">
        <f>4500</f>
        <v>4500</v>
      </c>
      <c r="P43" s="8">
        <v>2200</v>
      </c>
      <c r="Q43" s="8">
        <f>0</f>
        <v>0</v>
      </c>
      <c r="R43" s="8">
        <f>1800+2000</f>
        <v>3800</v>
      </c>
      <c r="S43" s="8">
        <f>0</f>
        <v>0</v>
      </c>
      <c r="T43" s="8">
        <f>0</f>
        <v>0</v>
      </c>
      <c r="U43" s="38">
        <v>10500</v>
      </c>
      <c r="V43" s="10">
        <f t="shared" si="2"/>
        <v>0</v>
      </c>
      <c r="W43" s="3">
        <f>AVERAGE(I43:T43)</f>
        <v>1041.6666666666667</v>
      </c>
      <c r="Z43" s="3">
        <v>791.66666666666663</v>
      </c>
      <c r="AA43" s="3">
        <f t="shared" si="152"/>
        <v>9500</v>
      </c>
      <c r="AB43" s="3">
        <v>791.66666666666663</v>
      </c>
      <c r="AC43" s="3">
        <f t="shared" si="153"/>
        <v>9500</v>
      </c>
      <c r="AD43" s="3">
        <v>791.66666666666663</v>
      </c>
      <c r="AE43" s="3">
        <f t="shared" si="153"/>
        <v>9500</v>
      </c>
      <c r="AF43" s="3">
        <v>791.66666666666663</v>
      </c>
      <c r="AG43" s="3">
        <f t="shared" ref="AG43" si="159">+AF43*$AA$9</f>
        <v>9500</v>
      </c>
      <c r="AH43" s="3">
        <v>791.66666666666663</v>
      </c>
      <c r="AI43" s="3">
        <f t="shared" ref="AI43" si="160">+AH43*$AA$9</f>
        <v>9500</v>
      </c>
      <c r="AJ43" s="3">
        <v>791.66666666666663</v>
      </c>
      <c r="AK43" s="3">
        <f t="shared" ref="AK43" si="161">+AJ43*$AA$9</f>
        <v>9500</v>
      </c>
      <c r="AL43" s="3">
        <v>791.66666666666663</v>
      </c>
      <c r="AM43" s="3">
        <f t="shared" ref="AM43" si="162">+AL43*$AA$9</f>
        <v>9500</v>
      </c>
      <c r="AN43" s="3">
        <v>791.66666666666663</v>
      </c>
      <c r="AO43" s="3">
        <f t="shared" ref="AO43" si="163">+AN43*$AA$9</f>
        <v>9500</v>
      </c>
    </row>
    <row r="44" spans="1:41" x14ac:dyDescent="0.25">
      <c r="A44" s="6" t="s">
        <v>40</v>
      </c>
      <c r="B44" s="41">
        <v>7333.38</v>
      </c>
      <c r="C44" s="41">
        <v>365.93</v>
      </c>
      <c r="D44" s="41"/>
      <c r="E44" s="41"/>
      <c r="F44" s="47">
        <f>SUM(B44:E44)</f>
        <v>7699.31</v>
      </c>
      <c r="G44" s="41">
        <v>1000</v>
      </c>
      <c r="H44" s="292">
        <v>1000.0000000000001</v>
      </c>
      <c r="I44" s="8">
        <f t="shared" ref="I44:S44" si="164">83.33</f>
        <v>83.33</v>
      </c>
      <c r="J44" s="8">
        <f t="shared" si="164"/>
        <v>83.33</v>
      </c>
      <c r="K44" s="8">
        <f t="shared" si="164"/>
        <v>83.33</v>
      </c>
      <c r="L44" s="8">
        <f t="shared" si="164"/>
        <v>83.33</v>
      </c>
      <c r="M44" s="8">
        <f t="shared" si="164"/>
        <v>83.33</v>
      </c>
      <c r="N44" s="8">
        <f t="shared" si="164"/>
        <v>83.33</v>
      </c>
      <c r="O44" s="8">
        <f t="shared" si="164"/>
        <v>83.33</v>
      </c>
      <c r="P44" s="8">
        <f t="shared" si="164"/>
        <v>83.33</v>
      </c>
      <c r="Q44" s="8">
        <f t="shared" si="164"/>
        <v>83.33</v>
      </c>
      <c r="R44" s="8">
        <f t="shared" si="164"/>
        <v>83.33</v>
      </c>
      <c r="S44" s="8">
        <f t="shared" si="164"/>
        <v>83.33</v>
      </c>
      <c r="T44" s="8">
        <f>83.37</f>
        <v>83.37</v>
      </c>
      <c r="U44" s="38">
        <f>(((((((((((I44)+(J44))+(K44))+(L44))+(M44))+(N44))+(O44))+(P44))+(Q44))+(R44))+(S44))+(T44)</f>
        <v>1000.0000000000001</v>
      </c>
      <c r="V44" s="10">
        <f t="shared" si="2"/>
        <v>0</v>
      </c>
      <c r="W44" s="5">
        <f>AVERAGE(I44:T44)</f>
        <v>83.333333333333343</v>
      </c>
      <c r="Z44" s="5">
        <v>83.333333333333343</v>
      </c>
      <c r="AA44" s="5">
        <f t="shared" si="152"/>
        <v>1000.0000000000001</v>
      </c>
      <c r="AB44" s="5">
        <v>83.333333333333343</v>
      </c>
      <c r="AC44" s="5">
        <f t="shared" si="153"/>
        <v>1000.0000000000001</v>
      </c>
      <c r="AD44" s="5">
        <v>83.333333333333343</v>
      </c>
      <c r="AE44" s="5">
        <f t="shared" si="153"/>
        <v>1000.0000000000001</v>
      </c>
      <c r="AF44" s="5">
        <v>83.333333333333343</v>
      </c>
      <c r="AG44" s="5">
        <f t="shared" ref="AG44" si="165">+AF44*$AA$9</f>
        <v>1000.0000000000001</v>
      </c>
      <c r="AH44" s="5">
        <v>83.333333333333343</v>
      </c>
      <c r="AI44" s="5">
        <f t="shared" ref="AI44" si="166">+AH44*$AA$9</f>
        <v>1000.0000000000001</v>
      </c>
      <c r="AJ44" s="5">
        <v>83.333333333333343</v>
      </c>
      <c r="AK44" s="5">
        <f t="shared" ref="AK44" si="167">+AJ44*$AA$9</f>
        <v>1000.0000000000001</v>
      </c>
      <c r="AL44" s="5">
        <v>83.333333333333343</v>
      </c>
      <c r="AM44" s="5">
        <f t="shared" ref="AM44" si="168">+AL44*$AA$9</f>
        <v>1000.0000000000001</v>
      </c>
      <c r="AN44" s="5">
        <v>83.333333333333343</v>
      </c>
      <c r="AO44" s="5">
        <f t="shared" ref="AO44" si="169">+AN44*$AA$9</f>
        <v>1000.0000000000001</v>
      </c>
    </row>
    <row r="45" spans="1:41" x14ac:dyDescent="0.25">
      <c r="A45" s="6" t="s">
        <v>41</v>
      </c>
      <c r="B45" s="9">
        <f t="shared" ref="B45:U45" si="170">(((B41)+(B42))+(B43))+(B44)</f>
        <v>39633.379999999997</v>
      </c>
      <c r="C45" s="9">
        <f t="shared" si="170"/>
        <v>2565.9299999999998</v>
      </c>
      <c r="D45" s="9">
        <f t="shared" si="170"/>
        <v>2200</v>
      </c>
      <c r="E45" s="9">
        <f t="shared" si="170"/>
        <v>2200</v>
      </c>
      <c r="F45" s="9">
        <f t="shared" si="170"/>
        <v>46599.31</v>
      </c>
      <c r="G45" s="9">
        <f t="shared" si="170"/>
        <v>36900</v>
      </c>
      <c r="H45" s="293">
        <f t="shared" si="170"/>
        <v>39900</v>
      </c>
      <c r="I45" s="9">
        <f t="shared" si="170"/>
        <v>2283.33</v>
      </c>
      <c r="J45" s="9">
        <f t="shared" si="170"/>
        <v>2283.33</v>
      </c>
      <c r="K45" s="9">
        <f t="shared" si="170"/>
        <v>2283.33</v>
      </c>
      <c r="L45" s="9">
        <f t="shared" si="170"/>
        <v>2283.33</v>
      </c>
      <c r="M45" s="9">
        <f t="shared" si="170"/>
        <v>4283.33</v>
      </c>
      <c r="N45" s="9">
        <f t="shared" si="170"/>
        <v>2283.33</v>
      </c>
      <c r="O45" s="9">
        <f t="shared" si="170"/>
        <v>6783.33</v>
      </c>
      <c r="P45" s="9">
        <f t="shared" si="170"/>
        <v>4483.33</v>
      </c>
      <c r="Q45" s="9">
        <f t="shared" si="170"/>
        <v>2283.33</v>
      </c>
      <c r="R45" s="9">
        <f t="shared" si="170"/>
        <v>6083.33</v>
      </c>
      <c r="S45" s="9">
        <f t="shared" si="170"/>
        <v>2283.33</v>
      </c>
      <c r="T45" s="9">
        <f t="shared" si="170"/>
        <v>2283.37</v>
      </c>
      <c r="U45" s="9">
        <f t="shared" si="170"/>
        <v>37900</v>
      </c>
      <c r="V45" s="10">
        <f t="shared" si="2"/>
        <v>0</v>
      </c>
      <c r="W45" s="10">
        <f>SUM(W42:W44)</f>
        <v>3325.0000000000005</v>
      </c>
      <c r="X45" s="3">
        <f>-W45*12</f>
        <v>-39900.000000000007</v>
      </c>
      <c r="Z45" s="10">
        <f t="shared" ref="Z45" si="171">SUM(Z42:Z44)</f>
        <v>3075</v>
      </c>
      <c r="AA45" s="10">
        <f t="shared" ref="AA45" si="172">SUM(AA42:AA44)</f>
        <v>36900</v>
      </c>
      <c r="AB45" s="10">
        <f t="shared" ref="AB45" si="173">SUM(AB42:AB44)</f>
        <v>3075</v>
      </c>
      <c r="AC45" s="10">
        <f t="shared" ref="AC45:AO45" si="174">SUM(AC42:AC44)</f>
        <v>36900</v>
      </c>
      <c r="AD45" s="10">
        <f t="shared" ref="AD45" si="175">SUM(AD42:AD44)</f>
        <v>3075</v>
      </c>
      <c r="AE45" s="10">
        <f t="shared" si="174"/>
        <v>36900</v>
      </c>
      <c r="AF45" s="10">
        <f t="shared" ref="AF45" si="176">SUM(AF42:AF44)</f>
        <v>3075</v>
      </c>
      <c r="AG45" s="10">
        <f t="shared" si="174"/>
        <v>36900</v>
      </c>
      <c r="AH45" s="10">
        <f t="shared" ref="AH45" si="177">SUM(AH42:AH44)</f>
        <v>3075</v>
      </c>
      <c r="AI45" s="10">
        <f t="shared" si="174"/>
        <v>36900</v>
      </c>
      <c r="AJ45" s="10">
        <f t="shared" ref="AJ45" si="178">SUM(AJ42:AJ44)</f>
        <v>3075</v>
      </c>
      <c r="AK45" s="10">
        <f t="shared" si="174"/>
        <v>36900</v>
      </c>
      <c r="AL45" s="10">
        <f t="shared" ref="AL45" si="179">SUM(AL42:AL44)</f>
        <v>3075</v>
      </c>
      <c r="AM45" s="10">
        <f t="shared" si="174"/>
        <v>36900</v>
      </c>
      <c r="AN45" s="10">
        <f t="shared" ref="AN45" si="180">SUM(AN42:AN44)</f>
        <v>3075</v>
      </c>
      <c r="AO45" s="10">
        <f t="shared" si="174"/>
        <v>36900</v>
      </c>
    </row>
    <row r="46" spans="1:41" x14ac:dyDescent="0.25">
      <c r="A46" s="6" t="s">
        <v>42</v>
      </c>
      <c r="B46" s="6"/>
      <c r="C46" s="6"/>
      <c r="D46" s="6"/>
      <c r="E46" s="6"/>
      <c r="F46" s="6"/>
      <c r="G46" s="6"/>
      <c r="H46" s="291">
        <v>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38">
        <f t="shared" ref="U46:U52" si="181">(((((((((((I46)+(J46))+(K46))+(L46))+(M46))+(N46))+(O46))+(P46))+(Q46))+(R46))+(S46))+(T46)</f>
        <v>0</v>
      </c>
      <c r="V46" s="10">
        <f t="shared" si="2"/>
        <v>0</v>
      </c>
    </row>
    <row r="47" spans="1:41" x14ac:dyDescent="0.25">
      <c r="A47" s="6" t="s">
        <v>43</v>
      </c>
      <c r="B47" s="41">
        <v>8775.64</v>
      </c>
      <c r="C47" s="41"/>
      <c r="D47" s="41"/>
      <c r="E47" s="41"/>
      <c r="F47" s="47">
        <f>SUM(B47:E47)</f>
        <v>8775.64</v>
      </c>
      <c r="G47" s="41">
        <v>9000</v>
      </c>
      <c r="H47" s="292">
        <v>9000</v>
      </c>
      <c r="I47" s="8">
        <f>0</f>
        <v>0</v>
      </c>
      <c r="J47" s="8">
        <f>0</f>
        <v>0</v>
      </c>
      <c r="K47" s="8">
        <f>0</f>
        <v>0</v>
      </c>
      <c r="L47" s="8">
        <f>4000</f>
        <v>4000</v>
      </c>
      <c r="M47" s="8">
        <f>3000</f>
        <v>3000</v>
      </c>
      <c r="N47" s="8">
        <f>1200</f>
        <v>1200</v>
      </c>
      <c r="O47" s="8">
        <f>0</f>
        <v>0</v>
      </c>
      <c r="P47" s="8">
        <f>600</f>
        <v>600</v>
      </c>
      <c r="Q47" s="8">
        <f>0</f>
        <v>0</v>
      </c>
      <c r="R47" s="8">
        <f>0</f>
        <v>0</v>
      </c>
      <c r="S47" s="8">
        <f>200</f>
        <v>200</v>
      </c>
      <c r="T47" s="8">
        <f>0</f>
        <v>0</v>
      </c>
      <c r="U47" s="38">
        <f t="shared" si="181"/>
        <v>9000</v>
      </c>
      <c r="V47" s="10">
        <f t="shared" si="2"/>
        <v>0</v>
      </c>
      <c r="W47" s="5">
        <f>AVERAGE(I47:T47)</f>
        <v>750</v>
      </c>
      <c r="Z47" s="5">
        <v>750</v>
      </c>
      <c r="AA47" s="5">
        <f t="shared" ref="AA47" si="182">+Z47*$AA$9</f>
        <v>9000</v>
      </c>
      <c r="AB47" s="5">
        <v>750</v>
      </c>
      <c r="AC47" s="5">
        <f t="shared" ref="AC47:AE47" si="183">+AB47*$AA$9</f>
        <v>9000</v>
      </c>
      <c r="AD47" s="5">
        <v>750</v>
      </c>
      <c r="AE47" s="5">
        <f t="shared" si="183"/>
        <v>9000</v>
      </c>
      <c r="AF47" s="5">
        <v>750</v>
      </c>
      <c r="AG47" s="5">
        <f t="shared" ref="AG47" si="184">+AF47*$AA$9</f>
        <v>9000</v>
      </c>
      <c r="AH47" s="5">
        <v>750</v>
      </c>
      <c r="AI47" s="5">
        <f t="shared" ref="AI47" si="185">+AH47*$AA$9</f>
        <v>9000</v>
      </c>
      <c r="AJ47" s="5">
        <v>750</v>
      </c>
      <c r="AK47" s="5">
        <f t="shared" ref="AK47" si="186">+AJ47*$AA$9</f>
        <v>9000</v>
      </c>
      <c r="AL47" s="5">
        <v>750</v>
      </c>
      <c r="AM47" s="5">
        <f t="shared" ref="AM47" si="187">+AL47*$AA$9</f>
        <v>9000</v>
      </c>
      <c r="AN47" s="5">
        <v>750</v>
      </c>
      <c r="AO47" s="5">
        <f t="shared" ref="AO47" si="188">+AN47*$AA$9</f>
        <v>9000</v>
      </c>
    </row>
    <row r="48" spans="1:41" x14ac:dyDescent="0.25">
      <c r="A48" s="6" t="s">
        <v>44</v>
      </c>
      <c r="B48" s="9">
        <f t="shared" ref="B48:T48" si="189">(B46)+(B47)</f>
        <v>8775.64</v>
      </c>
      <c r="C48" s="9">
        <f t="shared" si="189"/>
        <v>0</v>
      </c>
      <c r="D48" s="9">
        <f t="shared" si="189"/>
        <v>0</v>
      </c>
      <c r="E48" s="9">
        <f t="shared" si="189"/>
        <v>0</v>
      </c>
      <c r="F48" s="9">
        <f t="shared" si="189"/>
        <v>8775.64</v>
      </c>
      <c r="G48" s="9">
        <f t="shared" si="189"/>
        <v>9000</v>
      </c>
      <c r="H48" s="293">
        <f t="shared" si="189"/>
        <v>9000</v>
      </c>
      <c r="I48" s="9">
        <f t="shared" si="189"/>
        <v>0</v>
      </c>
      <c r="J48" s="9">
        <f t="shared" si="189"/>
        <v>0</v>
      </c>
      <c r="K48" s="9">
        <f t="shared" si="189"/>
        <v>0</v>
      </c>
      <c r="L48" s="9">
        <f t="shared" si="189"/>
        <v>4000</v>
      </c>
      <c r="M48" s="9">
        <f t="shared" si="189"/>
        <v>3000</v>
      </c>
      <c r="N48" s="9">
        <f t="shared" si="189"/>
        <v>1200</v>
      </c>
      <c r="O48" s="9">
        <f t="shared" si="189"/>
        <v>0</v>
      </c>
      <c r="P48" s="9">
        <f t="shared" si="189"/>
        <v>600</v>
      </c>
      <c r="Q48" s="9">
        <f t="shared" si="189"/>
        <v>0</v>
      </c>
      <c r="R48" s="9">
        <f t="shared" si="189"/>
        <v>0</v>
      </c>
      <c r="S48" s="9">
        <f t="shared" si="189"/>
        <v>200</v>
      </c>
      <c r="T48" s="9">
        <f t="shared" si="189"/>
        <v>0</v>
      </c>
      <c r="U48" s="39">
        <f t="shared" si="181"/>
        <v>9000</v>
      </c>
      <c r="V48" s="10">
        <f t="shared" si="2"/>
        <v>0</v>
      </c>
      <c r="W48" s="10">
        <f>+W47</f>
        <v>750</v>
      </c>
      <c r="X48" s="3">
        <f>-W48*12</f>
        <v>-9000</v>
      </c>
      <c r="Z48" s="10">
        <f t="shared" ref="Z48" si="190">+Z47</f>
        <v>750</v>
      </c>
      <c r="AA48" s="10">
        <f t="shared" ref="AA48" si="191">+AA47</f>
        <v>9000</v>
      </c>
      <c r="AB48" s="10">
        <f t="shared" ref="AB48" si="192">+AB47</f>
        <v>750</v>
      </c>
      <c r="AC48" s="10">
        <f t="shared" ref="AC48:AO48" si="193">+AC47</f>
        <v>9000</v>
      </c>
      <c r="AD48" s="10">
        <f t="shared" ref="AD48" si="194">+AD47</f>
        <v>750</v>
      </c>
      <c r="AE48" s="10">
        <f t="shared" si="193"/>
        <v>9000</v>
      </c>
      <c r="AF48" s="10">
        <f t="shared" ref="AF48" si="195">+AF47</f>
        <v>750</v>
      </c>
      <c r="AG48" s="10">
        <f t="shared" si="193"/>
        <v>9000</v>
      </c>
      <c r="AH48" s="10">
        <f t="shared" ref="AH48" si="196">+AH47</f>
        <v>750</v>
      </c>
      <c r="AI48" s="10">
        <f t="shared" si="193"/>
        <v>9000</v>
      </c>
      <c r="AJ48" s="10">
        <f t="shared" ref="AJ48" si="197">+AJ47</f>
        <v>750</v>
      </c>
      <c r="AK48" s="10">
        <f t="shared" si="193"/>
        <v>9000</v>
      </c>
      <c r="AL48" s="10">
        <f t="shared" ref="AL48" si="198">+AL47</f>
        <v>750</v>
      </c>
      <c r="AM48" s="10">
        <f t="shared" si="193"/>
        <v>9000</v>
      </c>
      <c r="AN48" s="10">
        <f t="shared" ref="AN48" si="199">+AN47</f>
        <v>750</v>
      </c>
      <c r="AO48" s="10">
        <f t="shared" si="193"/>
        <v>9000</v>
      </c>
    </row>
    <row r="49" spans="1:41" x14ac:dyDescent="0.25">
      <c r="A49" s="6" t="s">
        <v>45</v>
      </c>
      <c r="B49" s="6"/>
      <c r="C49" s="6"/>
      <c r="D49" s="6"/>
      <c r="E49" s="6"/>
      <c r="F49" s="6"/>
      <c r="G49" s="6"/>
      <c r="H49" s="291">
        <v>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38">
        <f t="shared" si="181"/>
        <v>0</v>
      </c>
      <c r="V49" s="10">
        <f t="shared" si="2"/>
        <v>0</v>
      </c>
    </row>
    <row r="50" spans="1:41" x14ac:dyDescent="0.25">
      <c r="A50" s="6" t="s">
        <v>46</v>
      </c>
      <c r="B50" s="41">
        <v>1961.26</v>
      </c>
      <c r="C50" s="41">
        <v>284.35000000000002</v>
      </c>
      <c r="D50" s="41">
        <v>0</v>
      </c>
      <c r="E50" s="41">
        <v>0</v>
      </c>
      <c r="F50" s="47">
        <f t="shared" ref="F50:F55" si="200">SUM(B50:E50)</f>
        <v>2245.61</v>
      </c>
      <c r="G50" s="41">
        <v>1000.0000000000001</v>
      </c>
      <c r="H50" s="291">
        <v>1000.0000000000001</v>
      </c>
      <c r="I50" s="8">
        <f t="shared" ref="I50:S50" si="201">83.33</f>
        <v>83.33</v>
      </c>
      <c r="J50" s="8">
        <f t="shared" si="201"/>
        <v>83.33</v>
      </c>
      <c r="K50" s="8">
        <f t="shared" si="201"/>
        <v>83.33</v>
      </c>
      <c r="L50" s="8">
        <f t="shared" si="201"/>
        <v>83.33</v>
      </c>
      <c r="M50" s="8">
        <f t="shared" si="201"/>
        <v>83.33</v>
      </c>
      <c r="N50" s="8">
        <f t="shared" si="201"/>
        <v>83.33</v>
      </c>
      <c r="O50" s="8">
        <f t="shared" si="201"/>
        <v>83.33</v>
      </c>
      <c r="P50" s="8">
        <f t="shared" si="201"/>
        <v>83.33</v>
      </c>
      <c r="Q50" s="8">
        <f t="shared" si="201"/>
        <v>83.33</v>
      </c>
      <c r="R50" s="8">
        <f t="shared" si="201"/>
        <v>83.33</v>
      </c>
      <c r="S50" s="8">
        <f t="shared" si="201"/>
        <v>83.33</v>
      </c>
      <c r="T50" s="8">
        <f>83.37</f>
        <v>83.37</v>
      </c>
      <c r="U50" s="38">
        <f t="shared" si="181"/>
        <v>1000.0000000000001</v>
      </c>
      <c r="V50" s="10">
        <f t="shared" si="2"/>
        <v>0</v>
      </c>
      <c r="W50" s="3">
        <f t="shared" ref="W50:W55" si="202">AVERAGE(I50:T50)</f>
        <v>83.333333333333343</v>
      </c>
      <c r="Z50" s="3">
        <v>83.333333333333343</v>
      </c>
      <c r="AA50" s="3">
        <f t="shared" ref="AA50:AA55" si="203">+Z50*$AA$9</f>
        <v>1000.0000000000001</v>
      </c>
      <c r="AB50" s="3">
        <v>83.333333333333343</v>
      </c>
      <c r="AC50" s="3">
        <f t="shared" ref="AC50:AE55" si="204">+AB50*$AA$9</f>
        <v>1000.0000000000001</v>
      </c>
      <c r="AD50" s="3">
        <v>83.333333333333343</v>
      </c>
      <c r="AE50" s="3">
        <f t="shared" si="204"/>
        <v>1000.0000000000001</v>
      </c>
      <c r="AF50" s="3">
        <v>83.333333333333343</v>
      </c>
      <c r="AG50" s="3">
        <f t="shared" ref="AG50" si="205">+AF50*$AA$9</f>
        <v>1000.0000000000001</v>
      </c>
      <c r="AH50" s="3">
        <v>83.333333333333343</v>
      </c>
      <c r="AI50" s="3">
        <f t="shared" ref="AI50" si="206">+AH50*$AA$9</f>
        <v>1000.0000000000001</v>
      </c>
      <c r="AJ50" s="3">
        <v>83.333333333333343</v>
      </c>
      <c r="AK50" s="3">
        <f t="shared" ref="AK50" si="207">+AJ50*$AA$9</f>
        <v>1000.0000000000001</v>
      </c>
      <c r="AL50" s="3">
        <v>83.333333333333343</v>
      </c>
      <c r="AM50" s="3">
        <f t="shared" ref="AM50" si="208">+AL50*$AA$9</f>
        <v>1000.0000000000001</v>
      </c>
      <c r="AN50" s="3">
        <v>83.333333333333343</v>
      </c>
      <c r="AO50" s="3">
        <f t="shared" ref="AO50" si="209">+AN50*$AA$9</f>
        <v>1000.0000000000001</v>
      </c>
    </row>
    <row r="51" spans="1:41" x14ac:dyDescent="0.25">
      <c r="A51" s="6" t="s">
        <v>47</v>
      </c>
      <c r="B51" s="41">
        <v>348.85</v>
      </c>
      <c r="C51" s="41"/>
      <c r="D51" s="41">
        <v>100</v>
      </c>
      <c r="E51" s="41">
        <v>100</v>
      </c>
      <c r="F51" s="47">
        <f t="shared" si="200"/>
        <v>548.85</v>
      </c>
      <c r="G51" s="41">
        <v>500.00000000000011</v>
      </c>
      <c r="H51" s="291">
        <v>500.00000000000011</v>
      </c>
      <c r="I51" s="8">
        <f t="shared" ref="I51:S51" si="210">41.67</f>
        <v>41.67</v>
      </c>
      <c r="J51" s="8">
        <f t="shared" si="210"/>
        <v>41.67</v>
      </c>
      <c r="K51" s="8">
        <f t="shared" si="210"/>
        <v>41.67</v>
      </c>
      <c r="L51" s="8">
        <f t="shared" si="210"/>
        <v>41.67</v>
      </c>
      <c r="M51" s="8">
        <f t="shared" si="210"/>
        <v>41.67</v>
      </c>
      <c r="N51" s="8">
        <f t="shared" si="210"/>
        <v>41.67</v>
      </c>
      <c r="O51" s="8">
        <f t="shared" si="210"/>
        <v>41.67</v>
      </c>
      <c r="P51" s="8">
        <f t="shared" si="210"/>
        <v>41.67</v>
      </c>
      <c r="Q51" s="8">
        <f t="shared" si="210"/>
        <v>41.67</v>
      </c>
      <c r="R51" s="8">
        <f t="shared" si="210"/>
        <v>41.67</v>
      </c>
      <c r="S51" s="8">
        <f t="shared" si="210"/>
        <v>41.67</v>
      </c>
      <c r="T51" s="8">
        <f>41.63</f>
        <v>41.63</v>
      </c>
      <c r="U51" s="38">
        <f t="shared" si="181"/>
        <v>500.00000000000011</v>
      </c>
      <c r="V51" s="10">
        <f t="shared" si="2"/>
        <v>0</v>
      </c>
      <c r="W51" s="3">
        <f t="shared" si="202"/>
        <v>41.666666666666679</v>
      </c>
      <c r="Z51" s="3">
        <v>41.666666666666679</v>
      </c>
      <c r="AA51" s="3">
        <f t="shared" si="203"/>
        <v>500.00000000000011</v>
      </c>
      <c r="AB51" s="3">
        <v>41.666666666666679</v>
      </c>
      <c r="AC51" s="3">
        <f t="shared" si="204"/>
        <v>500.00000000000011</v>
      </c>
      <c r="AD51" s="3">
        <v>41.666666666666679</v>
      </c>
      <c r="AE51" s="3">
        <f t="shared" si="204"/>
        <v>500.00000000000011</v>
      </c>
      <c r="AF51" s="3">
        <v>41.666666666666679</v>
      </c>
      <c r="AG51" s="3">
        <f t="shared" ref="AG51" si="211">+AF51*$AA$9</f>
        <v>500.00000000000011</v>
      </c>
      <c r="AH51" s="3">
        <v>41.666666666666679</v>
      </c>
      <c r="AI51" s="3">
        <f t="shared" ref="AI51" si="212">+AH51*$AA$9</f>
        <v>500.00000000000011</v>
      </c>
      <c r="AJ51" s="3">
        <v>41.666666666666679</v>
      </c>
      <c r="AK51" s="3">
        <f t="shared" ref="AK51" si="213">+AJ51*$AA$9</f>
        <v>500.00000000000011</v>
      </c>
      <c r="AL51" s="3">
        <v>41.666666666666679</v>
      </c>
      <c r="AM51" s="3">
        <f t="shared" ref="AM51" si="214">+AL51*$AA$9</f>
        <v>500.00000000000011</v>
      </c>
      <c r="AN51" s="3">
        <v>41.666666666666679</v>
      </c>
      <c r="AO51" s="3">
        <f t="shared" ref="AO51" si="215">+AN51*$AA$9</f>
        <v>500.00000000000011</v>
      </c>
    </row>
    <row r="52" spans="1:41" x14ac:dyDescent="0.25">
      <c r="A52" s="6" t="s">
        <v>48</v>
      </c>
      <c r="B52" s="41">
        <v>318.74</v>
      </c>
      <c r="C52" s="41">
        <v>0</v>
      </c>
      <c r="D52" s="41">
        <v>0</v>
      </c>
      <c r="E52" s="41">
        <v>0</v>
      </c>
      <c r="F52" s="47">
        <f t="shared" si="200"/>
        <v>318.74</v>
      </c>
      <c r="G52" s="41">
        <v>1000.0000000000001</v>
      </c>
      <c r="H52" s="291">
        <v>1000.0000000000001</v>
      </c>
      <c r="I52" s="8">
        <f t="shared" ref="I52:S52" si="216">83.33</f>
        <v>83.33</v>
      </c>
      <c r="J52" s="8">
        <f t="shared" si="216"/>
        <v>83.33</v>
      </c>
      <c r="K52" s="8">
        <f t="shared" si="216"/>
        <v>83.33</v>
      </c>
      <c r="L52" s="8">
        <f t="shared" si="216"/>
        <v>83.33</v>
      </c>
      <c r="M52" s="8">
        <f t="shared" si="216"/>
        <v>83.33</v>
      </c>
      <c r="N52" s="8">
        <f t="shared" si="216"/>
        <v>83.33</v>
      </c>
      <c r="O52" s="8">
        <f t="shared" si="216"/>
        <v>83.33</v>
      </c>
      <c r="P52" s="8">
        <f t="shared" si="216"/>
        <v>83.33</v>
      </c>
      <c r="Q52" s="8">
        <f t="shared" si="216"/>
        <v>83.33</v>
      </c>
      <c r="R52" s="8">
        <f t="shared" si="216"/>
        <v>83.33</v>
      </c>
      <c r="S52" s="8">
        <f t="shared" si="216"/>
        <v>83.33</v>
      </c>
      <c r="T52" s="8">
        <f>83.37</f>
        <v>83.37</v>
      </c>
      <c r="U52" s="38">
        <f t="shared" si="181"/>
        <v>1000.0000000000001</v>
      </c>
      <c r="V52" s="10">
        <f t="shared" si="2"/>
        <v>0</v>
      </c>
      <c r="W52" s="3">
        <f t="shared" si="202"/>
        <v>83.333333333333343</v>
      </c>
      <c r="Z52" s="3">
        <v>83.333333333333343</v>
      </c>
      <c r="AA52" s="3">
        <f t="shared" si="203"/>
        <v>1000.0000000000001</v>
      </c>
      <c r="AB52" s="3">
        <v>83.333333333333343</v>
      </c>
      <c r="AC52" s="3">
        <f t="shared" si="204"/>
        <v>1000.0000000000001</v>
      </c>
      <c r="AD52" s="3">
        <v>83.333333333333343</v>
      </c>
      <c r="AE52" s="3">
        <f t="shared" si="204"/>
        <v>1000.0000000000001</v>
      </c>
      <c r="AF52" s="3">
        <v>83.333333333333343</v>
      </c>
      <c r="AG52" s="3">
        <f t="shared" ref="AG52" si="217">+AF52*$AA$9</f>
        <v>1000.0000000000001</v>
      </c>
      <c r="AH52" s="3">
        <v>83.333333333333343</v>
      </c>
      <c r="AI52" s="3">
        <f t="shared" ref="AI52" si="218">+AH52*$AA$9</f>
        <v>1000.0000000000001</v>
      </c>
      <c r="AJ52" s="3">
        <v>83.333333333333343</v>
      </c>
      <c r="AK52" s="3">
        <f t="shared" ref="AK52" si="219">+AJ52*$AA$9</f>
        <v>1000.0000000000001</v>
      </c>
      <c r="AL52" s="3">
        <v>83.333333333333343</v>
      </c>
      <c r="AM52" s="3">
        <f t="shared" ref="AM52" si="220">+AL52*$AA$9</f>
        <v>1000.0000000000001</v>
      </c>
      <c r="AN52" s="3">
        <v>83.333333333333343</v>
      </c>
      <c r="AO52" s="3">
        <f t="shared" ref="AO52" si="221">+AN52*$AA$9</f>
        <v>1000.0000000000001</v>
      </c>
    </row>
    <row r="53" spans="1:41" x14ac:dyDescent="0.25">
      <c r="A53" s="6" t="s">
        <v>49</v>
      </c>
      <c r="B53" s="41">
        <v>1375.04</v>
      </c>
      <c r="C53" s="41"/>
      <c r="D53" s="41">
        <v>100</v>
      </c>
      <c r="E53" s="41">
        <v>100</v>
      </c>
      <c r="F53" s="47">
        <f t="shared" si="200"/>
        <v>1575.04</v>
      </c>
      <c r="G53" s="41">
        <v>3000</v>
      </c>
      <c r="H53" s="291">
        <v>2000</v>
      </c>
      <c r="I53" s="8">
        <f>2000/12</f>
        <v>166.66666666666666</v>
      </c>
      <c r="J53" s="8">
        <f t="shared" ref="J53:T53" si="222">2000/12</f>
        <v>166.66666666666666</v>
      </c>
      <c r="K53" s="8">
        <f t="shared" si="222"/>
        <v>166.66666666666666</v>
      </c>
      <c r="L53" s="8">
        <f t="shared" si="222"/>
        <v>166.66666666666666</v>
      </c>
      <c r="M53" s="8">
        <f t="shared" si="222"/>
        <v>166.66666666666666</v>
      </c>
      <c r="N53" s="8">
        <f t="shared" si="222"/>
        <v>166.66666666666666</v>
      </c>
      <c r="O53" s="8">
        <f t="shared" si="222"/>
        <v>166.66666666666666</v>
      </c>
      <c r="P53" s="8">
        <f t="shared" si="222"/>
        <v>166.66666666666666</v>
      </c>
      <c r="Q53" s="8">
        <f t="shared" si="222"/>
        <v>166.66666666666666</v>
      </c>
      <c r="R53" s="8">
        <f t="shared" si="222"/>
        <v>166.66666666666666</v>
      </c>
      <c r="S53" s="8">
        <f t="shared" si="222"/>
        <v>166.66666666666666</v>
      </c>
      <c r="T53" s="8">
        <f t="shared" si="222"/>
        <v>166.66666666666666</v>
      </c>
      <c r="U53" s="38">
        <v>2000</v>
      </c>
      <c r="V53" s="10">
        <f t="shared" si="2"/>
        <v>0</v>
      </c>
      <c r="W53" s="3">
        <f t="shared" si="202"/>
        <v>166.66666666666669</v>
      </c>
      <c r="Z53" s="3">
        <v>250</v>
      </c>
      <c r="AA53" s="3">
        <f t="shared" si="203"/>
        <v>3000</v>
      </c>
      <c r="AB53" s="3">
        <v>250</v>
      </c>
      <c r="AC53" s="3">
        <f t="shared" si="204"/>
        <v>3000</v>
      </c>
      <c r="AD53" s="3">
        <v>250</v>
      </c>
      <c r="AE53" s="3">
        <f t="shared" si="204"/>
        <v>3000</v>
      </c>
      <c r="AF53" s="3">
        <v>250</v>
      </c>
      <c r="AG53" s="3">
        <f t="shared" ref="AG53" si="223">+AF53*$AA$9</f>
        <v>3000</v>
      </c>
      <c r="AH53" s="3">
        <v>250</v>
      </c>
      <c r="AI53" s="3">
        <f t="shared" ref="AI53" si="224">+AH53*$AA$9</f>
        <v>3000</v>
      </c>
      <c r="AJ53" s="3">
        <v>250</v>
      </c>
      <c r="AK53" s="3">
        <f t="shared" ref="AK53" si="225">+AJ53*$AA$9</f>
        <v>3000</v>
      </c>
      <c r="AL53" s="3">
        <v>250</v>
      </c>
      <c r="AM53" s="3">
        <f t="shared" ref="AM53" si="226">+AL53*$AA$9</f>
        <v>3000</v>
      </c>
      <c r="AN53" s="3">
        <v>250</v>
      </c>
      <c r="AO53" s="3">
        <f t="shared" ref="AO53" si="227">+AN53*$AA$9</f>
        <v>3000</v>
      </c>
    </row>
    <row r="54" spans="1:41" x14ac:dyDescent="0.25">
      <c r="A54" s="6" t="s">
        <v>50</v>
      </c>
      <c r="B54" s="41">
        <v>86</v>
      </c>
      <c r="C54" s="41">
        <v>90</v>
      </c>
      <c r="D54" s="41">
        <f>350+100</f>
        <v>450</v>
      </c>
      <c r="E54" s="41">
        <v>0</v>
      </c>
      <c r="F54" s="47">
        <f t="shared" si="200"/>
        <v>626</v>
      </c>
      <c r="G54" s="41">
        <v>150</v>
      </c>
      <c r="H54" s="291">
        <v>150</v>
      </c>
      <c r="I54" s="8">
        <f>0</f>
        <v>0</v>
      </c>
      <c r="J54" s="8">
        <f>0</f>
        <v>0</v>
      </c>
      <c r="K54" s="8">
        <f>150</f>
        <v>150</v>
      </c>
      <c r="L54" s="8">
        <f>0</f>
        <v>0</v>
      </c>
      <c r="M54" s="8">
        <f>0</f>
        <v>0</v>
      </c>
      <c r="N54" s="8">
        <f>0</f>
        <v>0</v>
      </c>
      <c r="O54" s="8">
        <f>0</f>
        <v>0</v>
      </c>
      <c r="P54" s="8">
        <f>0</f>
        <v>0</v>
      </c>
      <c r="Q54" s="8">
        <f>0</f>
        <v>0</v>
      </c>
      <c r="R54" s="8">
        <f>0</f>
        <v>0</v>
      </c>
      <c r="S54" s="8">
        <f>0</f>
        <v>0</v>
      </c>
      <c r="T54" s="8">
        <f>0</f>
        <v>0</v>
      </c>
      <c r="U54" s="38">
        <f>(((((((((((I54)+(J54))+(K54))+(L54))+(M54))+(N54))+(O54))+(P54))+(Q54))+(R54))+(S54))+(T54)</f>
        <v>150</v>
      </c>
      <c r="V54" s="10">
        <f t="shared" si="2"/>
        <v>0</v>
      </c>
      <c r="W54" s="3">
        <f t="shared" si="202"/>
        <v>12.5</v>
      </c>
      <c r="Z54" s="3">
        <v>12.5</v>
      </c>
      <c r="AA54" s="3">
        <f t="shared" si="203"/>
        <v>150</v>
      </c>
      <c r="AB54" s="3">
        <v>12.5</v>
      </c>
      <c r="AC54" s="3">
        <f t="shared" si="204"/>
        <v>150</v>
      </c>
      <c r="AD54" s="3">
        <v>12.5</v>
      </c>
      <c r="AE54" s="3">
        <f t="shared" si="204"/>
        <v>150</v>
      </c>
      <c r="AF54" s="3">
        <v>12.5</v>
      </c>
      <c r="AG54" s="3">
        <f t="shared" ref="AG54" si="228">+AF54*$AA$9</f>
        <v>150</v>
      </c>
      <c r="AH54" s="3">
        <v>12.5</v>
      </c>
      <c r="AI54" s="3">
        <f t="shared" ref="AI54" si="229">+AH54*$AA$9</f>
        <v>150</v>
      </c>
      <c r="AJ54" s="3">
        <v>12.5</v>
      </c>
      <c r="AK54" s="3">
        <f t="shared" ref="AK54" si="230">+AJ54*$AA$9</f>
        <v>150</v>
      </c>
      <c r="AL54" s="3">
        <v>12.5</v>
      </c>
      <c r="AM54" s="3">
        <f t="shared" ref="AM54" si="231">+AL54*$AA$9</f>
        <v>150</v>
      </c>
      <c r="AN54" s="3">
        <v>12.5</v>
      </c>
      <c r="AO54" s="3">
        <f t="shared" ref="AO54" si="232">+AN54*$AA$9</f>
        <v>150</v>
      </c>
    </row>
    <row r="55" spans="1:41" x14ac:dyDescent="0.25">
      <c r="A55" s="6" t="s">
        <v>51</v>
      </c>
      <c r="B55" s="41">
        <v>1701.69</v>
      </c>
      <c r="C55" s="41">
        <v>90.41</v>
      </c>
      <c r="D55" s="41">
        <v>74.42</v>
      </c>
      <c r="E55" s="41">
        <v>75</v>
      </c>
      <c r="F55" s="47">
        <f t="shared" si="200"/>
        <v>1941.5200000000002</v>
      </c>
      <c r="G55" s="41">
        <v>1200</v>
      </c>
      <c r="H55" s="292">
        <v>1800</v>
      </c>
      <c r="I55" s="8">
        <f>1800/12</f>
        <v>150</v>
      </c>
      <c r="J55" s="8">
        <f t="shared" ref="J55:T55" si="233">1800/12</f>
        <v>150</v>
      </c>
      <c r="K55" s="8">
        <f t="shared" si="233"/>
        <v>150</v>
      </c>
      <c r="L55" s="8">
        <f t="shared" si="233"/>
        <v>150</v>
      </c>
      <c r="M55" s="8">
        <f t="shared" si="233"/>
        <v>150</v>
      </c>
      <c r="N55" s="8">
        <f t="shared" si="233"/>
        <v>150</v>
      </c>
      <c r="O55" s="8">
        <f t="shared" si="233"/>
        <v>150</v>
      </c>
      <c r="P55" s="8">
        <f t="shared" si="233"/>
        <v>150</v>
      </c>
      <c r="Q55" s="8">
        <f t="shared" si="233"/>
        <v>150</v>
      </c>
      <c r="R55" s="8">
        <f t="shared" si="233"/>
        <v>150</v>
      </c>
      <c r="S55" s="8">
        <f t="shared" si="233"/>
        <v>150</v>
      </c>
      <c r="T55" s="8">
        <f t="shared" si="233"/>
        <v>150</v>
      </c>
      <c r="U55" s="38">
        <v>1800</v>
      </c>
      <c r="V55" s="10">
        <f t="shared" si="2"/>
        <v>0</v>
      </c>
      <c r="W55" s="5">
        <f t="shared" si="202"/>
        <v>150</v>
      </c>
      <c r="Z55" s="5">
        <v>100</v>
      </c>
      <c r="AA55" s="5">
        <f t="shared" si="203"/>
        <v>1200</v>
      </c>
      <c r="AB55" s="5">
        <v>100</v>
      </c>
      <c r="AC55" s="5">
        <f t="shared" si="204"/>
        <v>1200</v>
      </c>
      <c r="AD55" s="5">
        <v>100</v>
      </c>
      <c r="AE55" s="5">
        <f t="shared" si="204"/>
        <v>1200</v>
      </c>
      <c r="AF55" s="5">
        <v>100</v>
      </c>
      <c r="AG55" s="5">
        <f t="shared" ref="AG55" si="234">+AF55*$AA$9</f>
        <v>1200</v>
      </c>
      <c r="AH55" s="5">
        <v>100</v>
      </c>
      <c r="AI55" s="5">
        <f t="shared" ref="AI55" si="235">+AH55*$AA$9</f>
        <v>1200</v>
      </c>
      <c r="AJ55" s="5">
        <v>100</v>
      </c>
      <c r="AK55" s="5">
        <f t="shared" ref="AK55" si="236">+AJ55*$AA$9</f>
        <v>1200</v>
      </c>
      <c r="AL55" s="5">
        <v>100</v>
      </c>
      <c r="AM55" s="5">
        <f t="shared" ref="AM55" si="237">+AL55*$AA$9</f>
        <v>1200</v>
      </c>
      <c r="AN55" s="5">
        <v>100</v>
      </c>
      <c r="AO55" s="5">
        <f t="shared" ref="AO55" si="238">+AN55*$AA$9</f>
        <v>1200</v>
      </c>
    </row>
    <row r="56" spans="1:41" x14ac:dyDescent="0.25">
      <c r="A56" s="6" t="s">
        <v>52</v>
      </c>
      <c r="B56" s="9">
        <f t="shared" ref="B56:U56" si="239">((((((B49)+(B50))+(B51))+(B52))+(B53))+(B54))+(B55)</f>
        <v>5791.58</v>
      </c>
      <c r="C56" s="9">
        <f t="shared" si="239"/>
        <v>464.76</v>
      </c>
      <c r="D56" s="9">
        <f t="shared" si="239"/>
        <v>724.42</v>
      </c>
      <c r="E56" s="9">
        <f t="shared" si="239"/>
        <v>275</v>
      </c>
      <c r="F56" s="9">
        <f t="shared" si="239"/>
        <v>7255.76</v>
      </c>
      <c r="G56" s="9">
        <f t="shared" si="239"/>
        <v>6850</v>
      </c>
      <c r="H56" s="293">
        <f t="shared" si="239"/>
        <v>6450</v>
      </c>
      <c r="I56" s="9">
        <f t="shared" si="239"/>
        <v>524.99666666666667</v>
      </c>
      <c r="J56" s="9">
        <f t="shared" si="239"/>
        <v>524.99666666666667</v>
      </c>
      <c r="K56" s="9">
        <f t="shared" si="239"/>
        <v>674.99666666666667</v>
      </c>
      <c r="L56" s="9">
        <f t="shared" si="239"/>
        <v>524.99666666666667</v>
      </c>
      <c r="M56" s="9">
        <f t="shared" si="239"/>
        <v>524.99666666666667</v>
      </c>
      <c r="N56" s="9">
        <f t="shared" si="239"/>
        <v>524.99666666666667</v>
      </c>
      <c r="O56" s="9">
        <f t="shared" si="239"/>
        <v>524.99666666666667</v>
      </c>
      <c r="P56" s="9">
        <f t="shared" si="239"/>
        <v>524.99666666666667</v>
      </c>
      <c r="Q56" s="9">
        <f t="shared" si="239"/>
        <v>524.99666666666667</v>
      </c>
      <c r="R56" s="9">
        <f t="shared" si="239"/>
        <v>524.99666666666667</v>
      </c>
      <c r="S56" s="9">
        <f t="shared" si="239"/>
        <v>524.99666666666667</v>
      </c>
      <c r="T56" s="9">
        <f t="shared" si="239"/>
        <v>525.03666666666663</v>
      </c>
      <c r="U56" s="9">
        <f t="shared" si="239"/>
        <v>6450</v>
      </c>
      <c r="V56" s="10">
        <f t="shared" si="2"/>
        <v>0</v>
      </c>
      <c r="W56" s="10">
        <f>SUM(W50:W55)</f>
        <v>537.5</v>
      </c>
      <c r="X56" s="5">
        <f>-W56*12</f>
        <v>-6450</v>
      </c>
      <c r="Z56" s="10">
        <f t="shared" ref="Z56" si="240">SUM(Z50:Z55)</f>
        <v>570.83333333333337</v>
      </c>
      <c r="AA56" s="10">
        <f t="shared" ref="AA56" si="241">SUM(AA50:AA55)</f>
        <v>6850</v>
      </c>
      <c r="AB56" s="10">
        <f t="shared" ref="AB56" si="242">SUM(AB50:AB55)</f>
        <v>570.83333333333337</v>
      </c>
      <c r="AC56" s="10">
        <f t="shared" ref="AC56:AO56" si="243">SUM(AC50:AC55)</f>
        <v>6850</v>
      </c>
      <c r="AD56" s="10">
        <f t="shared" ref="AD56" si="244">SUM(AD50:AD55)</f>
        <v>570.83333333333337</v>
      </c>
      <c r="AE56" s="10">
        <f t="shared" si="243"/>
        <v>6850</v>
      </c>
      <c r="AF56" s="10">
        <f t="shared" ref="AF56" si="245">SUM(AF50:AF55)</f>
        <v>570.83333333333337</v>
      </c>
      <c r="AG56" s="10">
        <f t="shared" si="243"/>
        <v>6850</v>
      </c>
      <c r="AH56" s="10">
        <f t="shared" ref="AH56" si="246">SUM(AH50:AH55)</f>
        <v>570.83333333333337</v>
      </c>
      <c r="AI56" s="10">
        <f t="shared" si="243"/>
        <v>6850</v>
      </c>
      <c r="AJ56" s="10">
        <f t="shared" ref="AJ56" si="247">SUM(AJ50:AJ55)</f>
        <v>570.83333333333337</v>
      </c>
      <c r="AK56" s="10">
        <f t="shared" si="243"/>
        <v>6850</v>
      </c>
      <c r="AL56" s="10">
        <f t="shared" ref="AL56" si="248">SUM(AL50:AL55)</f>
        <v>570.83333333333337</v>
      </c>
      <c r="AM56" s="10">
        <f t="shared" si="243"/>
        <v>6850</v>
      </c>
      <c r="AN56" s="10">
        <f t="shared" ref="AN56" si="249">SUM(AN50:AN55)</f>
        <v>570.83333333333337</v>
      </c>
      <c r="AO56" s="10">
        <f t="shared" si="243"/>
        <v>6850</v>
      </c>
    </row>
    <row r="57" spans="1:41" x14ac:dyDescent="0.25">
      <c r="A57" s="6" t="s">
        <v>53</v>
      </c>
      <c r="B57" s="41">
        <v>142.12</v>
      </c>
      <c r="C57" s="41">
        <v>0</v>
      </c>
      <c r="D57" s="41">
        <v>0</v>
      </c>
      <c r="E57" s="41">
        <v>0</v>
      </c>
      <c r="F57" s="47">
        <f t="shared" ref="F57:F61" si="250">SUM(B57:E57)</f>
        <v>142.12</v>
      </c>
      <c r="G57" s="6"/>
      <c r="H57" s="291">
        <v>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38">
        <f>(((((((((((I57)+(J57))+(K57))+(L57))+(M57))+(N57))+(O57))+(P57))+(Q57))+(R57))+(S57))+(T57)</f>
        <v>0</v>
      </c>
      <c r="V57" s="10">
        <f t="shared" si="2"/>
        <v>0</v>
      </c>
    </row>
    <row r="58" spans="1:41" x14ac:dyDescent="0.25">
      <c r="A58" s="6" t="s">
        <v>54</v>
      </c>
      <c r="B58" s="41">
        <v>437.5</v>
      </c>
      <c r="C58" s="41">
        <v>0</v>
      </c>
      <c r="D58" s="41">
        <v>0</v>
      </c>
      <c r="E58" s="41">
        <v>0</v>
      </c>
      <c r="F58" s="47">
        <f t="shared" si="250"/>
        <v>437.5</v>
      </c>
      <c r="G58" s="41">
        <v>249.99999999999994</v>
      </c>
      <c r="H58" s="291">
        <v>249.99999999999994</v>
      </c>
      <c r="I58" s="8">
        <f t="shared" ref="I58:S58" si="251">20.83</f>
        <v>20.83</v>
      </c>
      <c r="J58" s="8">
        <f t="shared" si="251"/>
        <v>20.83</v>
      </c>
      <c r="K58" s="8">
        <f t="shared" si="251"/>
        <v>20.83</v>
      </c>
      <c r="L58" s="8">
        <f t="shared" si="251"/>
        <v>20.83</v>
      </c>
      <c r="M58" s="8">
        <f t="shared" si="251"/>
        <v>20.83</v>
      </c>
      <c r="N58" s="8">
        <f t="shared" si="251"/>
        <v>20.83</v>
      </c>
      <c r="O58" s="8">
        <f t="shared" si="251"/>
        <v>20.83</v>
      </c>
      <c r="P58" s="8">
        <f t="shared" si="251"/>
        <v>20.83</v>
      </c>
      <c r="Q58" s="8">
        <f t="shared" si="251"/>
        <v>20.83</v>
      </c>
      <c r="R58" s="8">
        <f t="shared" si="251"/>
        <v>20.83</v>
      </c>
      <c r="S58" s="8">
        <f t="shared" si="251"/>
        <v>20.83</v>
      </c>
      <c r="T58" s="8">
        <f>20.87</f>
        <v>20.87</v>
      </c>
      <c r="U58" s="38">
        <f>(((((((((((I58)+(J58))+(K58))+(L58))+(M58))+(N58))+(O58))+(P58))+(Q58))+(R58))+(S58))+(T58)</f>
        <v>249.99999999999994</v>
      </c>
      <c r="V58" s="10">
        <f t="shared" si="2"/>
        <v>0</v>
      </c>
      <c r="W58" s="3">
        <f>AVERAGE(I58:T58)</f>
        <v>20.833333333333329</v>
      </c>
      <c r="Z58" s="3">
        <v>20.833333333333329</v>
      </c>
      <c r="AA58" s="3">
        <f t="shared" ref="AA58:AA61" si="252">+Z58*$AA$9</f>
        <v>249.99999999999994</v>
      </c>
      <c r="AB58" s="3">
        <v>20.833333333333329</v>
      </c>
      <c r="AC58" s="3">
        <f t="shared" ref="AC58:AE61" si="253">+AB58*$AA$9</f>
        <v>249.99999999999994</v>
      </c>
      <c r="AD58" s="3">
        <v>20.833333333333329</v>
      </c>
      <c r="AE58" s="3">
        <f t="shared" si="253"/>
        <v>249.99999999999994</v>
      </c>
      <c r="AF58" s="3">
        <v>20.833333333333329</v>
      </c>
      <c r="AG58" s="3">
        <f t="shared" ref="AG58" si="254">+AF58*$AA$9</f>
        <v>249.99999999999994</v>
      </c>
      <c r="AH58" s="3">
        <v>20.833333333333329</v>
      </c>
      <c r="AI58" s="3">
        <f t="shared" ref="AI58" si="255">+AH58*$AA$9</f>
        <v>249.99999999999994</v>
      </c>
      <c r="AJ58" s="3">
        <v>20.833333333333329</v>
      </c>
      <c r="AK58" s="3">
        <f t="shared" ref="AK58" si="256">+AJ58*$AA$9</f>
        <v>249.99999999999994</v>
      </c>
      <c r="AL58" s="3">
        <v>20.833333333333329</v>
      </c>
      <c r="AM58" s="3">
        <f t="shared" ref="AM58" si="257">+AL58*$AA$9</f>
        <v>249.99999999999994</v>
      </c>
      <c r="AN58" s="3">
        <v>20.833333333333329</v>
      </c>
      <c r="AO58" s="3">
        <f t="shared" ref="AO58" si="258">+AN58*$AA$9</f>
        <v>249.99999999999994</v>
      </c>
    </row>
    <row r="59" spans="1:41" x14ac:dyDescent="0.25">
      <c r="A59" s="6" t="s">
        <v>55</v>
      </c>
      <c r="B59" s="41">
        <v>2719.55</v>
      </c>
      <c r="C59" s="41">
        <v>0</v>
      </c>
      <c r="D59" s="41">
        <v>0</v>
      </c>
      <c r="E59" s="41">
        <v>0</v>
      </c>
      <c r="F59" s="47">
        <f t="shared" si="250"/>
        <v>2719.55</v>
      </c>
      <c r="G59" s="41">
        <v>500.00000000000011</v>
      </c>
      <c r="H59" s="291">
        <v>3000</v>
      </c>
      <c r="I59" s="8">
        <f>3000/12</f>
        <v>250</v>
      </c>
      <c r="J59" s="8">
        <f t="shared" ref="J59:U59" si="259">3000/12</f>
        <v>250</v>
      </c>
      <c r="K59" s="8">
        <f t="shared" si="259"/>
        <v>250</v>
      </c>
      <c r="L59" s="8">
        <f t="shared" si="259"/>
        <v>250</v>
      </c>
      <c r="M59" s="8">
        <f t="shared" si="259"/>
        <v>250</v>
      </c>
      <c r="N59" s="8">
        <f t="shared" si="259"/>
        <v>250</v>
      </c>
      <c r="O59" s="8">
        <f t="shared" si="259"/>
        <v>250</v>
      </c>
      <c r="P59" s="8">
        <f t="shared" si="259"/>
        <v>250</v>
      </c>
      <c r="Q59" s="8">
        <f t="shared" si="259"/>
        <v>250</v>
      </c>
      <c r="R59" s="8">
        <f t="shared" si="259"/>
        <v>250</v>
      </c>
      <c r="S59" s="8">
        <f t="shared" si="259"/>
        <v>250</v>
      </c>
      <c r="T59" s="8">
        <f t="shared" si="259"/>
        <v>250</v>
      </c>
      <c r="U59" s="8">
        <f t="shared" si="259"/>
        <v>250</v>
      </c>
      <c r="V59" s="10">
        <f t="shared" si="2"/>
        <v>0</v>
      </c>
      <c r="W59" s="3">
        <f>AVERAGE(I59:T59)</f>
        <v>250</v>
      </c>
      <c r="Z59" s="3">
        <v>41.666666666666679</v>
      </c>
      <c r="AA59" s="3">
        <f t="shared" si="252"/>
        <v>500.00000000000011</v>
      </c>
      <c r="AB59" s="3">
        <v>41.666666666666679</v>
      </c>
      <c r="AC59" s="3">
        <f t="shared" si="253"/>
        <v>500.00000000000011</v>
      </c>
      <c r="AD59" s="3">
        <v>41.666666666666679</v>
      </c>
      <c r="AE59" s="3">
        <f t="shared" si="253"/>
        <v>500.00000000000011</v>
      </c>
      <c r="AF59" s="3">
        <v>41.666666666666679</v>
      </c>
      <c r="AG59" s="3">
        <f t="shared" ref="AG59" si="260">+AF59*$AA$9</f>
        <v>500.00000000000011</v>
      </c>
      <c r="AH59" s="3">
        <v>41.666666666666679</v>
      </c>
      <c r="AI59" s="3">
        <f t="shared" ref="AI59" si="261">+AH59*$AA$9</f>
        <v>500.00000000000011</v>
      </c>
      <c r="AJ59" s="3">
        <v>41.666666666666679</v>
      </c>
      <c r="AK59" s="3">
        <f t="shared" ref="AK59" si="262">+AJ59*$AA$9</f>
        <v>500.00000000000011</v>
      </c>
      <c r="AL59" s="3">
        <v>41.666666666666679</v>
      </c>
      <c r="AM59" s="3">
        <f t="shared" ref="AM59" si="263">+AL59*$AA$9</f>
        <v>500.00000000000011</v>
      </c>
      <c r="AN59" s="3">
        <v>41.666666666666679</v>
      </c>
      <c r="AO59" s="3">
        <f t="shared" ref="AO59" si="264">+AN59*$AA$9</f>
        <v>500.00000000000011</v>
      </c>
    </row>
    <row r="60" spans="1:41" x14ac:dyDescent="0.25">
      <c r="A60" s="6" t="s">
        <v>56</v>
      </c>
      <c r="B60" s="6"/>
      <c r="C60" s="41">
        <v>374.7</v>
      </c>
      <c r="D60" s="41">
        <v>0</v>
      </c>
      <c r="E60" s="41">
        <v>100</v>
      </c>
      <c r="F60" s="47">
        <f t="shared" si="250"/>
        <v>474.7</v>
      </c>
      <c r="G60" s="41">
        <v>200.00000000000006</v>
      </c>
      <c r="H60" s="291">
        <v>200.00000000000006</v>
      </c>
      <c r="I60" s="8">
        <f t="shared" ref="I60:S60" si="265">16.67</f>
        <v>16.670000000000002</v>
      </c>
      <c r="J60" s="8">
        <f t="shared" si="265"/>
        <v>16.670000000000002</v>
      </c>
      <c r="K60" s="8">
        <f t="shared" si="265"/>
        <v>16.670000000000002</v>
      </c>
      <c r="L60" s="8">
        <f t="shared" si="265"/>
        <v>16.670000000000002</v>
      </c>
      <c r="M60" s="8">
        <f t="shared" si="265"/>
        <v>16.670000000000002</v>
      </c>
      <c r="N60" s="8">
        <f t="shared" si="265"/>
        <v>16.670000000000002</v>
      </c>
      <c r="O60" s="8">
        <f t="shared" si="265"/>
        <v>16.670000000000002</v>
      </c>
      <c r="P60" s="8">
        <f t="shared" si="265"/>
        <v>16.670000000000002</v>
      </c>
      <c r="Q60" s="8">
        <f t="shared" si="265"/>
        <v>16.670000000000002</v>
      </c>
      <c r="R60" s="8">
        <f t="shared" si="265"/>
        <v>16.670000000000002</v>
      </c>
      <c r="S60" s="8">
        <f t="shared" si="265"/>
        <v>16.670000000000002</v>
      </c>
      <c r="T60" s="8">
        <f>16.63</f>
        <v>16.63</v>
      </c>
      <c r="U60" s="38">
        <f>(((((((((((I60)+(J60))+(K60))+(L60))+(M60))+(N60))+(O60))+(P60))+(Q60))+(R60))+(S60))+(T60)</f>
        <v>200.00000000000006</v>
      </c>
      <c r="V60" s="10">
        <f t="shared" si="2"/>
        <v>0</v>
      </c>
      <c r="W60" s="3">
        <f>AVERAGE(I60:T60)</f>
        <v>16.666666666666671</v>
      </c>
      <c r="Z60" s="3">
        <v>16.666666666666671</v>
      </c>
      <c r="AA60" s="3">
        <f t="shared" si="252"/>
        <v>200.00000000000006</v>
      </c>
      <c r="AB60" s="3">
        <v>16.666666666666671</v>
      </c>
      <c r="AC60" s="3">
        <f t="shared" si="253"/>
        <v>200.00000000000006</v>
      </c>
      <c r="AD60" s="3">
        <v>16.666666666666671</v>
      </c>
      <c r="AE60" s="3">
        <f t="shared" si="253"/>
        <v>200.00000000000006</v>
      </c>
      <c r="AF60" s="3">
        <v>16.666666666666671</v>
      </c>
      <c r="AG60" s="3">
        <f t="shared" ref="AG60" si="266">+AF60*$AA$9</f>
        <v>200.00000000000006</v>
      </c>
      <c r="AH60" s="3">
        <v>16.666666666666671</v>
      </c>
      <c r="AI60" s="3">
        <f t="shared" ref="AI60" si="267">+AH60*$AA$9</f>
        <v>200.00000000000006</v>
      </c>
      <c r="AJ60" s="3">
        <v>16.666666666666671</v>
      </c>
      <c r="AK60" s="3">
        <f t="shared" ref="AK60" si="268">+AJ60*$AA$9</f>
        <v>200.00000000000006</v>
      </c>
      <c r="AL60" s="3">
        <v>16.666666666666671</v>
      </c>
      <c r="AM60" s="3">
        <f t="shared" ref="AM60" si="269">+AL60*$AA$9</f>
        <v>200.00000000000006</v>
      </c>
      <c r="AN60" s="3">
        <v>16.666666666666671</v>
      </c>
      <c r="AO60" s="3">
        <f t="shared" ref="AO60" si="270">+AN60*$AA$9</f>
        <v>200.00000000000006</v>
      </c>
    </row>
    <row r="61" spans="1:41" x14ac:dyDescent="0.25">
      <c r="A61" s="6" t="s">
        <v>57</v>
      </c>
      <c r="B61" s="6"/>
      <c r="C61" s="6">
        <v>0</v>
      </c>
      <c r="D61" s="6">
        <v>0</v>
      </c>
      <c r="E61" s="6">
        <v>0</v>
      </c>
      <c r="F61" s="6">
        <f t="shared" si="250"/>
        <v>0</v>
      </c>
      <c r="G61" s="41">
        <v>150</v>
      </c>
      <c r="H61" s="292">
        <v>150</v>
      </c>
      <c r="I61" s="8">
        <f t="shared" ref="I61:T61" si="271">12.5</f>
        <v>12.5</v>
      </c>
      <c r="J61" s="8">
        <f t="shared" si="271"/>
        <v>12.5</v>
      </c>
      <c r="K61" s="8">
        <f t="shared" si="271"/>
        <v>12.5</v>
      </c>
      <c r="L61" s="8">
        <f t="shared" si="271"/>
        <v>12.5</v>
      </c>
      <c r="M61" s="8">
        <f t="shared" si="271"/>
        <v>12.5</v>
      </c>
      <c r="N61" s="8">
        <f t="shared" si="271"/>
        <v>12.5</v>
      </c>
      <c r="O61" s="8">
        <f t="shared" si="271"/>
        <v>12.5</v>
      </c>
      <c r="P61" s="8">
        <f t="shared" si="271"/>
        <v>12.5</v>
      </c>
      <c r="Q61" s="8">
        <f t="shared" si="271"/>
        <v>12.5</v>
      </c>
      <c r="R61" s="8">
        <f t="shared" si="271"/>
        <v>12.5</v>
      </c>
      <c r="S61" s="8">
        <f t="shared" si="271"/>
        <v>12.5</v>
      </c>
      <c r="T61" s="8">
        <f t="shared" si="271"/>
        <v>12.5</v>
      </c>
      <c r="U61" s="38">
        <f>(((((((((((I61)+(J61))+(K61))+(L61))+(M61))+(N61))+(O61))+(P61))+(Q61))+(R61))+(S61))+(T61)</f>
        <v>150</v>
      </c>
      <c r="V61" s="10">
        <f t="shared" si="2"/>
        <v>0</v>
      </c>
      <c r="W61" s="5">
        <f>AVERAGE(I61:T61)</f>
        <v>12.5</v>
      </c>
      <c r="Z61" s="5">
        <v>12.5</v>
      </c>
      <c r="AA61" s="3">
        <f t="shared" si="252"/>
        <v>150</v>
      </c>
      <c r="AB61" s="5">
        <v>12.5</v>
      </c>
      <c r="AC61" s="3">
        <f t="shared" si="253"/>
        <v>150</v>
      </c>
      <c r="AD61" s="5">
        <v>12.5</v>
      </c>
      <c r="AE61" s="3">
        <f t="shared" si="253"/>
        <v>150</v>
      </c>
      <c r="AF61" s="5">
        <v>12.5</v>
      </c>
      <c r="AG61" s="3">
        <f t="shared" ref="AG61" si="272">+AF61*$AA$9</f>
        <v>150</v>
      </c>
      <c r="AH61" s="5">
        <v>12.5</v>
      </c>
      <c r="AI61" s="3">
        <f t="shared" ref="AI61" si="273">+AH61*$AA$9</f>
        <v>150</v>
      </c>
      <c r="AJ61" s="5">
        <v>12.5</v>
      </c>
      <c r="AK61" s="3">
        <f t="shared" ref="AK61" si="274">+AJ61*$AA$9</f>
        <v>150</v>
      </c>
      <c r="AL61" s="5">
        <v>12.5</v>
      </c>
      <c r="AM61" s="3">
        <f t="shared" ref="AM61" si="275">+AL61*$AA$9</f>
        <v>150</v>
      </c>
      <c r="AN61" s="5">
        <v>12.5</v>
      </c>
      <c r="AO61" s="3">
        <f t="shared" ref="AO61" si="276">+AN61*$AA$9</f>
        <v>150</v>
      </c>
    </row>
    <row r="62" spans="1:41" x14ac:dyDescent="0.25">
      <c r="A62" s="6" t="s">
        <v>58</v>
      </c>
      <c r="B62" s="9">
        <f t="shared" ref="B62:G62" si="277">((((B57)+(B58))+(B59))+(B60))+(B61)</f>
        <v>3299.17</v>
      </c>
      <c r="C62" s="9">
        <f t="shared" si="277"/>
        <v>374.7</v>
      </c>
      <c r="D62" s="9">
        <f t="shared" si="277"/>
        <v>0</v>
      </c>
      <c r="E62" s="9">
        <f t="shared" si="277"/>
        <v>100</v>
      </c>
      <c r="F62" s="9">
        <f t="shared" si="277"/>
        <v>3773.87</v>
      </c>
      <c r="G62" s="9">
        <f t="shared" si="277"/>
        <v>1100</v>
      </c>
      <c r="H62" s="293">
        <f t="shared" ref="H62:U62" si="278">((((H57)+(H58))+(H59))+(H60))+(H61)</f>
        <v>3600</v>
      </c>
      <c r="I62" s="9">
        <f t="shared" si="278"/>
        <v>300</v>
      </c>
      <c r="J62" s="9">
        <f t="shared" si="278"/>
        <v>300</v>
      </c>
      <c r="K62" s="9">
        <f t="shared" si="278"/>
        <v>300</v>
      </c>
      <c r="L62" s="9">
        <f t="shared" si="278"/>
        <v>300</v>
      </c>
      <c r="M62" s="9">
        <f t="shared" si="278"/>
        <v>300</v>
      </c>
      <c r="N62" s="9">
        <f t="shared" si="278"/>
        <v>300</v>
      </c>
      <c r="O62" s="9">
        <f t="shared" si="278"/>
        <v>300</v>
      </c>
      <c r="P62" s="9">
        <f t="shared" si="278"/>
        <v>300</v>
      </c>
      <c r="Q62" s="9">
        <f t="shared" si="278"/>
        <v>300</v>
      </c>
      <c r="R62" s="9">
        <f t="shared" si="278"/>
        <v>300</v>
      </c>
      <c r="S62" s="9">
        <f t="shared" si="278"/>
        <v>300</v>
      </c>
      <c r="T62" s="9">
        <f t="shared" si="278"/>
        <v>300</v>
      </c>
      <c r="U62" s="9">
        <f t="shared" si="278"/>
        <v>850</v>
      </c>
      <c r="V62" s="10">
        <f t="shared" si="2"/>
        <v>0</v>
      </c>
      <c r="W62" s="13">
        <f>SUM(W58:W61)</f>
        <v>300</v>
      </c>
      <c r="X62" s="5">
        <f>-W62*12</f>
        <v>-3600</v>
      </c>
      <c r="Z62" s="13">
        <f t="shared" ref="Z62" si="279">SUM(Z58:Z61)</f>
        <v>91.666666666666686</v>
      </c>
      <c r="AA62" s="13">
        <f t="shared" ref="AA62" si="280">SUM(AA58:AA61)</f>
        <v>1100</v>
      </c>
      <c r="AB62" s="13">
        <f t="shared" ref="AB62" si="281">SUM(AB58:AB61)</f>
        <v>91.666666666666686</v>
      </c>
      <c r="AC62" s="13">
        <f t="shared" ref="AC62:AO62" si="282">SUM(AC58:AC61)</f>
        <v>1100</v>
      </c>
      <c r="AD62" s="13">
        <f t="shared" ref="AD62" si="283">SUM(AD58:AD61)</f>
        <v>91.666666666666686</v>
      </c>
      <c r="AE62" s="13">
        <f t="shared" si="282"/>
        <v>1100</v>
      </c>
      <c r="AF62" s="13">
        <f t="shared" ref="AF62" si="284">SUM(AF58:AF61)</f>
        <v>91.666666666666686</v>
      </c>
      <c r="AG62" s="13">
        <f t="shared" si="282"/>
        <v>1100</v>
      </c>
      <c r="AH62" s="13">
        <f t="shared" ref="AH62" si="285">SUM(AH58:AH61)</f>
        <v>91.666666666666686</v>
      </c>
      <c r="AI62" s="13">
        <f t="shared" si="282"/>
        <v>1100</v>
      </c>
      <c r="AJ62" s="13">
        <f t="shared" ref="AJ62" si="286">SUM(AJ58:AJ61)</f>
        <v>91.666666666666686</v>
      </c>
      <c r="AK62" s="13">
        <f t="shared" si="282"/>
        <v>1100</v>
      </c>
      <c r="AL62" s="13">
        <f t="shared" ref="AL62" si="287">SUM(AL58:AL61)</f>
        <v>91.666666666666686</v>
      </c>
      <c r="AM62" s="13">
        <f t="shared" si="282"/>
        <v>1100</v>
      </c>
      <c r="AN62" s="13">
        <f t="shared" ref="AN62" si="288">SUM(AN58:AN61)</f>
        <v>91.666666666666686</v>
      </c>
      <c r="AO62" s="13">
        <f t="shared" si="282"/>
        <v>1100</v>
      </c>
    </row>
    <row r="63" spans="1:41" x14ac:dyDescent="0.25">
      <c r="A63" s="6" t="s">
        <v>106</v>
      </c>
      <c r="B63" s="9">
        <v>7550</v>
      </c>
      <c r="C63" s="9"/>
      <c r="D63" s="9"/>
      <c r="E63" s="9"/>
      <c r="F63" s="47">
        <f>SUM(B63:E63)</f>
        <v>7550</v>
      </c>
      <c r="G63" s="9"/>
      <c r="H63" s="29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0"/>
      <c r="W63" s="13"/>
      <c r="X63" s="5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1" x14ac:dyDescent="0.25">
      <c r="A64" s="6" t="s">
        <v>59</v>
      </c>
      <c r="B64" s="9">
        <f>(((((((((((((((B22)+(B23))+(B24))+(B25))+(B26))+(B27))+(B29))+(B30))+(B31))+(B32))+(B33))+(B40))+(B45))+(B48))+(B56))+(B62)+B63+B28</f>
        <v>204659.90000000002</v>
      </c>
      <c r="C64" s="9">
        <f t="shared" ref="C64:F64" si="289">(((((((((((((((C22)+(C23))+(C24))+(C25))+(C26))+(C27))+(C29))+(C30))+(C31))+(C32))+(C33))+(C40))+(C45))+(C48))+(C56))+(C62)+C63+C28</f>
        <v>18907.37</v>
      </c>
      <c r="D64" s="9">
        <f t="shared" si="289"/>
        <v>24274.42</v>
      </c>
      <c r="E64" s="9">
        <f t="shared" si="289"/>
        <v>33675</v>
      </c>
      <c r="F64" s="9">
        <f t="shared" si="289"/>
        <v>281516.69</v>
      </c>
      <c r="G64" s="9">
        <f t="shared" ref="G64:T64" si="290">(((((((((((((((G22)+(G23))+(G24))+(G25))+(G26))+(G27))+(G29))+(G30))+(G31))+(G32))+(G33))+(G40))+(G45))+(G48))+(G56))+(G62)+G63+G28</f>
        <v>280950</v>
      </c>
      <c r="H64" s="293">
        <f t="shared" si="290"/>
        <v>300806.09600000002</v>
      </c>
      <c r="I64" s="9">
        <f t="shared" si="290"/>
        <v>19986.304666666663</v>
      </c>
      <c r="J64" s="9">
        <f t="shared" si="290"/>
        <v>19986.304666666663</v>
      </c>
      <c r="K64" s="9">
        <f t="shared" si="290"/>
        <v>21236.304666666663</v>
      </c>
      <c r="L64" s="9">
        <f t="shared" si="290"/>
        <v>31669.153000000006</v>
      </c>
      <c r="M64" s="9">
        <f t="shared" si="290"/>
        <v>30335.172999999995</v>
      </c>
      <c r="N64" s="9">
        <f t="shared" si="290"/>
        <v>24784.688000000002</v>
      </c>
      <c r="O64" s="9">
        <f t="shared" si="290"/>
        <v>28084.688000000002</v>
      </c>
      <c r="P64" s="9">
        <f t="shared" si="290"/>
        <v>26384.688000000002</v>
      </c>
      <c r="Q64" s="9">
        <f t="shared" si="290"/>
        <v>23584.688000000002</v>
      </c>
      <c r="R64" s="9">
        <f t="shared" si="290"/>
        <v>27384.688000000002</v>
      </c>
      <c r="S64" s="9">
        <f t="shared" si="290"/>
        <v>23784.688000000002</v>
      </c>
      <c r="T64" s="9">
        <f t="shared" si="290"/>
        <v>23584.728000000003</v>
      </c>
      <c r="U64" s="9">
        <f t="shared" ref="U64" si="291">(((((((((((((((U22)+(U23))+(U24))+(U25))+(U26))+(U27))+(U29))+(U30))+(U31))+(U32))+(U33))+(U40))+(U45))+(U48))+(U56))+(U62)</f>
        <v>291764.42933333339</v>
      </c>
      <c r="V64" s="10">
        <f t="shared" si="2"/>
        <v>0</v>
      </c>
      <c r="W64" s="13">
        <f>+W62+W56+W48+W45+W40+W34</f>
        <v>24017.17466666667</v>
      </c>
      <c r="X64" s="12">
        <f>SUM(X33:X62)</f>
        <v>-288206.09600000002</v>
      </c>
      <c r="Z64" s="13" t="e">
        <f t="shared" ref="Z64" si="292">+Z62+Z56+Z48+Z45+Z40+Z34</f>
        <v>#REF!</v>
      </c>
      <c r="AA64" s="13" t="e">
        <f t="shared" ref="AA64" si="293">+AA62+AA56+AA48+AA45+AA40+AA34</f>
        <v>#REF!</v>
      </c>
      <c r="AB64" s="13" t="e">
        <f t="shared" ref="AB64" si="294">+AB62+AB56+AB48+AB45+AB40+AB34</f>
        <v>#REF!</v>
      </c>
      <c r="AC64" s="13" t="e">
        <f t="shared" ref="AC64:AO64" si="295">+AC62+AC56+AC48+AC45+AC40+AC34</f>
        <v>#REF!</v>
      </c>
      <c r="AD64" s="13" t="e">
        <f t="shared" ref="AD64" si="296">+AD62+AD56+AD48+AD45+AD40+AD34</f>
        <v>#REF!</v>
      </c>
      <c r="AE64" s="13" t="e">
        <f t="shared" si="295"/>
        <v>#REF!</v>
      </c>
      <c r="AF64" s="13" t="e">
        <f t="shared" ref="AF64" si="297">+AF62+AF56+AF48+AF45+AF40+AF34</f>
        <v>#REF!</v>
      </c>
      <c r="AG64" s="13" t="e">
        <f t="shared" si="295"/>
        <v>#REF!</v>
      </c>
      <c r="AH64" s="13" t="e">
        <f t="shared" ref="AH64" si="298">+AH62+AH56+AH48+AH45+AH40+AH34</f>
        <v>#REF!</v>
      </c>
      <c r="AI64" s="13" t="e">
        <f t="shared" si="295"/>
        <v>#REF!</v>
      </c>
      <c r="AJ64" s="13" t="e">
        <f t="shared" ref="AJ64" si="299">+AJ62+AJ56+AJ48+AJ45+AJ40+AJ34</f>
        <v>#REF!</v>
      </c>
      <c r="AK64" s="13" t="e">
        <f t="shared" si="295"/>
        <v>#REF!</v>
      </c>
      <c r="AL64" s="13" t="e">
        <f t="shared" ref="AL64" si="300">+AL62+AL56+AL48+AL45+AL40+AL34</f>
        <v>#REF!</v>
      </c>
      <c r="AM64" s="13" t="e">
        <f t="shared" si="295"/>
        <v>#REF!</v>
      </c>
      <c r="AN64" s="13" t="e">
        <f t="shared" ref="AN64" si="301">+AN62+AN56+AN48+AN45+AN40+AN34</f>
        <v>#REF!</v>
      </c>
      <c r="AO64" s="13" t="e">
        <f t="shared" si="295"/>
        <v>#REF!</v>
      </c>
    </row>
    <row r="65" spans="1:45" x14ac:dyDescent="0.25">
      <c r="A65" s="6" t="s">
        <v>60</v>
      </c>
      <c r="B65" s="9">
        <f t="shared" ref="B65:F65" si="302">(B20)-(B64)</f>
        <v>0</v>
      </c>
      <c r="C65" s="9">
        <f t="shared" si="302"/>
        <v>34400.119999999995</v>
      </c>
      <c r="D65" s="9">
        <f t="shared" si="302"/>
        <v>-17886.75</v>
      </c>
      <c r="E65" s="9">
        <f t="shared" si="302"/>
        <v>-28507.33</v>
      </c>
      <c r="F65" s="9">
        <f t="shared" si="302"/>
        <v>0.77999999996973202</v>
      </c>
      <c r="G65" s="9">
        <f t="shared" ref="G65:H65" si="303">(G20)-(G64)</f>
        <v>0</v>
      </c>
      <c r="H65" s="293">
        <f t="shared" si="303"/>
        <v>0</v>
      </c>
      <c r="I65" s="9">
        <f t="shared" ref="I65:T65" si="304">(I20)-(I64)</f>
        <v>612.5</v>
      </c>
      <c r="J65" s="9">
        <f t="shared" si="304"/>
        <v>612.5</v>
      </c>
      <c r="K65" s="9">
        <f t="shared" si="304"/>
        <v>612.5</v>
      </c>
      <c r="L65" s="9">
        <f t="shared" si="304"/>
        <v>-387.5</v>
      </c>
      <c r="M65" s="9">
        <f t="shared" si="304"/>
        <v>-387.5</v>
      </c>
      <c r="N65" s="9">
        <f t="shared" si="304"/>
        <v>-387.5</v>
      </c>
      <c r="O65" s="9">
        <f t="shared" si="304"/>
        <v>-387.5</v>
      </c>
      <c r="P65" s="9">
        <f t="shared" si="304"/>
        <v>-387.5</v>
      </c>
      <c r="Q65" s="9">
        <f t="shared" si="304"/>
        <v>-387.5</v>
      </c>
      <c r="R65" s="9">
        <f t="shared" si="304"/>
        <v>-2387.5</v>
      </c>
      <c r="S65" s="9">
        <f t="shared" si="304"/>
        <v>-387.5</v>
      </c>
      <c r="T65" s="9">
        <f t="shared" si="304"/>
        <v>-387.5</v>
      </c>
      <c r="U65" s="9">
        <f t="shared" ref="U65" si="305">(U20)-(U64)</f>
        <v>-216764.42933333339</v>
      </c>
      <c r="V65" s="10">
        <f t="shared" si="2"/>
        <v>3650</v>
      </c>
      <c r="W65" s="13">
        <f>+W20-W64</f>
        <v>-3808.8413333333374</v>
      </c>
      <c r="X65" s="5">
        <f>+X20+X64</f>
        <v>-45706.09600000002</v>
      </c>
      <c r="Z65" s="13" t="e">
        <f t="shared" ref="Z65" si="306">+Z20-Z64</f>
        <v>#REF!</v>
      </c>
      <c r="AA65" s="13" t="e">
        <f t="shared" ref="AA65" si="307">+AA20-AA64</f>
        <v>#REF!</v>
      </c>
      <c r="AB65" s="13" t="e">
        <f t="shared" ref="AB65" si="308">+AB20-AB64</f>
        <v>#REF!</v>
      </c>
      <c r="AC65" s="13" t="e">
        <f t="shared" ref="AC65:AO65" si="309">+AC20-AC64</f>
        <v>#REF!</v>
      </c>
      <c r="AD65" s="13" t="e">
        <f t="shared" ref="AD65" si="310">+AD20-AD64</f>
        <v>#REF!</v>
      </c>
      <c r="AE65" s="13" t="e">
        <f t="shared" si="309"/>
        <v>#REF!</v>
      </c>
      <c r="AF65" s="13" t="e">
        <f t="shared" ref="AF65" si="311">+AF20-AF64</f>
        <v>#REF!</v>
      </c>
      <c r="AG65" s="13" t="e">
        <f t="shared" si="309"/>
        <v>#REF!</v>
      </c>
      <c r="AH65" s="13" t="e">
        <f t="shared" ref="AH65" si="312">+AH20-AH64</f>
        <v>#REF!</v>
      </c>
      <c r="AI65" s="13" t="e">
        <f t="shared" si="309"/>
        <v>#REF!</v>
      </c>
      <c r="AJ65" s="13" t="e">
        <f t="shared" ref="AJ65" si="313">+AJ20-AJ64</f>
        <v>#REF!</v>
      </c>
      <c r="AK65" s="13" t="e">
        <f t="shared" si="309"/>
        <v>#REF!</v>
      </c>
      <c r="AL65" s="13" t="e">
        <f t="shared" ref="AL65" si="314">+AL20-AL64</f>
        <v>#REF!</v>
      </c>
      <c r="AM65" s="13" t="e">
        <f t="shared" si="309"/>
        <v>#REF!</v>
      </c>
      <c r="AN65" s="13" t="e">
        <f t="shared" ref="AN65" si="315">+AN20-AN64</f>
        <v>#REF!</v>
      </c>
      <c r="AO65" s="13" t="e">
        <f t="shared" si="309"/>
        <v>#REF!</v>
      </c>
    </row>
    <row r="66" spans="1:45" x14ac:dyDescent="0.25">
      <c r="A66" s="6" t="s">
        <v>61</v>
      </c>
      <c r="B66" s="15">
        <f t="shared" ref="B66:F66" si="316">(B65)+(0)</f>
        <v>0</v>
      </c>
      <c r="C66" s="15">
        <f t="shared" si="316"/>
        <v>34400.119999999995</v>
      </c>
      <c r="D66" s="15">
        <f t="shared" si="316"/>
        <v>-17886.75</v>
      </c>
      <c r="E66" s="15">
        <f t="shared" si="316"/>
        <v>-28507.33</v>
      </c>
      <c r="F66" s="15">
        <f t="shared" si="316"/>
        <v>0.77999999996973202</v>
      </c>
      <c r="G66" s="15">
        <f t="shared" ref="G66:H66" si="317">(G65)+(0)</f>
        <v>0</v>
      </c>
      <c r="H66" s="293">
        <f t="shared" si="317"/>
        <v>0</v>
      </c>
      <c r="I66" s="15">
        <f t="shared" ref="I66:T66" si="318">(I65)+(0)</f>
        <v>612.5</v>
      </c>
      <c r="J66" s="9">
        <f t="shared" si="318"/>
        <v>612.5</v>
      </c>
      <c r="K66" s="9">
        <f t="shared" si="318"/>
        <v>612.5</v>
      </c>
      <c r="L66" s="15">
        <f t="shared" si="318"/>
        <v>-387.5</v>
      </c>
      <c r="M66" s="9">
        <f t="shared" si="318"/>
        <v>-387.5</v>
      </c>
      <c r="N66" s="9">
        <f t="shared" si="318"/>
        <v>-387.5</v>
      </c>
      <c r="O66" s="15">
        <f t="shared" si="318"/>
        <v>-387.5</v>
      </c>
      <c r="P66" s="9">
        <f t="shared" si="318"/>
        <v>-387.5</v>
      </c>
      <c r="Q66" s="9">
        <f t="shared" si="318"/>
        <v>-387.5</v>
      </c>
      <c r="R66" s="15">
        <f t="shared" si="318"/>
        <v>-2387.5</v>
      </c>
      <c r="S66" s="9">
        <f t="shared" si="318"/>
        <v>-387.5</v>
      </c>
      <c r="T66" s="9">
        <f t="shared" si="318"/>
        <v>-387.5</v>
      </c>
      <c r="U66" s="9">
        <f t="shared" ref="U66" si="319">(U65)+(0)</f>
        <v>-216764.42933333339</v>
      </c>
      <c r="V66" s="10">
        <f t="shared" si="2"/>
        <v>3650</v>
      </c>
      <c r="W66" s="10">
        <f>+W65</f>
        <v>-3808.8413333333374</v>
      </c>
      <c r="X66" s="3">
        <f>+X65</f>
        <v>-45706.09600000002</v>
      </c>
      <c r="Z66" s="10" t="e">
        <f t="shared" ref="Z66" si="320">+Z65</f>
        <v>#REF!</v>
      </c>
      <c r="AA66" s="10" t="e">
        <f t="shared" ref="AA66" si="321">+AA65</f>
        <v>#REF!</v>
      </c>
      <c r="AB66" s="10" t="e">
        <f t="shared" ref="AB66" si="322">+AB65</f>
        <v>#REF!</v>
      </c>
      <c r="AC66" s="10" t="e">
        <f t="shared" ref="AC66:AO66" si="323">+AC65</f>
        <v>#REF!</v>
      </c>
      <c r="AD66" s="10" t="e">
        <f t="shared" ref="AD66" si="324">+AD65</f>
        <v>#REF!</v>
      </c>
      <c r="AE66" s="10" t="e">
        <f t="shared" si="323"/>
        <v>#REF!</v>
      </c>
      <c r="AF66" s="10" t="e">
        <f t="shared" ref="AF66" si="325">+AF65</f>
        <v>#REF!</v>
      </c>
      <c r="AG66" s="10" t="e">
        <f t="shared" si="323"/>
        <v>#REF!</v>
      </c>
      <c r="AH66" s="10" t="e">
        <f t="shared" ref="AH66" si="326">+AH65</f>
        <v>#REF!</v>
      </c>
      <c r="AI66" s="28" t="e">
        <f t="shared" si="323"/>
        <v>#REF!</v>
      </c>
      <c r="AJ66" s="10" t="e">
        <f t="shared" ref="AJ66" si="327">+AJ65</f>
        <v>#REF!</v>
      </c>
      <c r="AK66" s="28" t="e">
        <f t="shared" si="323"/>
        <v>#REF!</v>
      </c>
      <c r="AL66" s="10" t="e">
        <f t="shared" ref="AL66" si="328">+AL65</f>
        <v>#REF!</v>
      </c>
      <c r="AM66" s="28" t="e">
        <f t="shared" si="323"/>
        <v>#REF!</v>
      </c>
      <c r="AN66" s="10" t="e">
        <f t="shared" ref="AN66" si="329">+AN65</f>
        <v>#REF!</v>
      </c>
      <c r="AO66" s="28" t="e">
        <f t="shared" si="323"/>
        <v>#REF!</v>
      </c>
    </row>
    <row r="67" spans="1:45" x14ac:dyDescent="0.25">
      <c r="A67" s="6"/>
      <c r="B67" s="6"/>
      <c r="C67" s="6"/>
      <c r="D67" s="6"/>
      <c r="E67" s="6"/>
      <c r="F67" s="278">
        <f>+F66-G66</f>
        <v>0.77999999996973202</v>
      </c>
      <c r="G67" s="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37"/>
    </row>
    <row r="68" spans="1:45" x14ac:dyDescent="0.25">
      <c r="B68">
        <v>-8765.2600000000093</v>
      </c>
      <c r="G68">
        <v>-55950</v>
      </c>
      <c r="H68" s="295">
        <v>-58306.09600000002</v>
      </c>
      <c r="I68" s="29">
        <v>25609.528666666673</v>
      </c>
      <c r="J68" s="29">
        <v>-7265.4713333333293</v>
      </c>
      <c r="K68" s="29">
        <v>-17515.471333333327</v>
      </c>
      <c r="L68" s="29">
        <v>14926.68033333333</v>
      </c>
      <c r="M68" s="29">
        <v>-25614.339666666659</v>
      </c>
      <c r="N68" s="29">
        <v>-11563.854666666668</v>
      </c>
      <c r="O68" s="29">
        <v>22011.145333333334</v>
      </c>
      <c r="P68" s="29">
        <v>-21663.854666666666</v>
      </c>
      <c r="Q68" s="29">
        <v>-18863.854666666666</v>
      </c>
      <c r="R68" s="29">
        <v>21211.145333333334</v>
      </c>
      <c r="S68" s="29">
        <v>-17063.854666666666</v>
      </c>
      <c r="T68" s="29">
        <v>-18863.894666666667</v>
      </c>
      <c r="AI68" s="3"/>
    </row>
    <row r="69" spans="1:45" x14ac:dyDescent="0.25">
      <c r="B69" s="49"/>
      <c r="C69" s="49"/>
      <c r="D69" s="49"/>
      <c r="E69" s="49"/>
      <c r="F69" s="49"/>
      <c r="AE69" t="s">
        <v>67</v>
      </c>
      <c r="AI69" s="10"/>
    </row>
    <row r="70" spans="1:45" x14ac:dyDescent="0.25">
      <c r="H70" s="286">
        <f>-J75</f>
        <v>-6650</v>
      </c>
      <c r="AQ70" t="s">
        <v>76</v>
      </c>
      <c r="AR70" t="s">
        <v>77</v>
      </c>
      <c r="AS70" t="s">
        <v>78</v>
      </c>
    </row>
    <row r="71" spans="1:45" x14ac:dyDescent="0.25">
      <c r="H71" s="286">
        <f>+H68-H70</f>
        <v>-51656.09600000002</v>
      </c>
      <c r="K71">
        <f>1000000*0.01</f>
        <v>10000</v>
      </c>
      <c r="AI71" s="29"/>
      <c r="AK71" s="29"/>
      <c r="AM71" s="29"/>
      <c r="AO71" s="29"/>
    </row>
    <row r="72" spans="1:45" x14ac:dyDescent="0.25">
      <c r="AH72" t="s">
        <v>73</v>
      </c>
      <c r="AI72">
        <v>145</v>
      </c>
      <c r="AK72">
        <v>145</v>
      </c>
      <c r="AM72">
        <v>145</v>
      </c>
      <c r="AO72">
        <v>145</v>
      </c>
      <c r="AQ72">
        <v>145</v>
      </c>
      <c r="AR72">
        <v>145</v>
      </c>
      <c r="AS72">
        <v>145</v>
      </c>
    </row>
    <row r="73" spans="1:45" x14ac:dyDescent="0.25">
      <c r="J73">
        <f>100+50+10500</f>
        <v>10650</v>
      </c>
      <c r="AH73" t="s">
        <v>74</v>
      </c>
      <c r="AI73" s="1">
        <v>170</v>
      </c>
      <c r="AJ73" s="1"/>
      <c r="AK73" s="1">
        <v>180</v>
      </c>
      <c r="AL73" s="1"/>
      <c r="AM73" s="1">
        <v>190</v>
      </c>
      <c r="AN73" s="1"/>
      <c r="AO73" s="1">
        <v>200</v>
      </c>
      <c r="AQ73" s="1">
        <v>210</v>
      </c>
      <c r="AR73" s="1">
        <v>220</v>
      </c>
      <c r="AS73" s="1">
        <v>230</v>
      </c>
    </row>
    <row r="74" spans="1:45" x14ac:dyDescent="0.25">
      <c r="J74">
        <f>1000+200+3600+12500</f>
        <v>17300</v>
      </c>
      <c r="AH74" t="s">
        <v>75</v>
      </c>
      <c r="AI74">
        <f>+AI73-AI72</f>
        <v>25</v>
      </c>
      <c r="AK74">
        <f>+AK73-AK72</f>
        <v>35</v>
      </c>
      <c r="AM74">
        <f>+AM73-AM72</f>
        <v>45</v>
      </c>
      <c r="AO74">
        <f>+AO73-AO72</f>
        <v>55</v>
      </c>
      <c r="AQ74">
        <f t="shared" ref="AQ74:AS74" si="330">+AQ73-AQ72</f>
        <v>65</v>
      </c>
      <c r="AR74">
        <f t="shared" si="330"/>
        <v>75</v>
      </c>
      <c r="AS74">
        <f t="shared" si="330"/>
        <v>85</v>
      </c>
    </row>
    <row r="75" spans="1:45" x14ac:dyDescent="0.25">
      <c r="J75">
        <f>+J74-J73</f>
        <v>6650</v>
      </c>
    </row>
    <row r="76" spans="1:45" x14ac:dyDescent="0.25">
      <c r="AH76" t="s">
        <v>80</v>
      </c>
      <c r="AI76" s="29">
        <v>280</v>
      </c>
      <c r="AJ76" s="29"/>
      <c r="AK76" s="29">
        <v>280</v>
      </c>
      <c r="AL76" s="29"/>
      <c r="AM76" s="29">
        <v>280</v>
      </c>
      <c r="AN76" s="29"/>
      <c r="AO76" s="29">
        <v>280</v>
      </c>
      <c r="AQ76" s="29">
        <v>280</v>
      </c>
      <c r="AR76" s="29">
        <v>280</v>
      </c>
      <c r="AS76" s="29">
        <v>280</v>
      </c>
    </row>
    <row r="77" spans="1:45" x14ac:dyDescent="0.25">
      <c r="AH77" t="s">
        <v>81</v>
      </c>
      <c r="AI77" s="32" t="e">
        <f>+AI64/1000</f>
        <v>#REF!</v>
      </c>
      <c r="AJ77" s="32"/>
      <c r="AK77" s="32" t="e">
        <f>+AK64/1000</f>
        <v>#REF!</v>
      </c>
      <c r="AL77" s="32"/>
      <c r="AM77" s="32" t="e">
        <f>+AM64/1000</f>
        <v>#REF!</v>
      </c>
      <c r="AN77" s="32"/>
      <c r="AO77" s="32" t="e">
        <f>+AO64/1000</f>
        <v>#REF!</v>
      </c>
      <c r="AP77" s="1"/>
      <c r="AQ77" s="32" t="e">
        <f>+AO77</f>
        <v>#REF!</v>
      </c>
      <c r="AR77" s="32" t="e">
        <f>+AO77</f>
        <v>#REF!</v>
      </c>
      <c r="AS77" s="32" t="e">
        <f>+AO77</f>
        <v>#REF!</v>
      </c>
    </row>
    <row r="78" spans="1:45" x14ac:dyDescent="0.25">
      <c r="AH78" t="s">
        <v>75</v>
      </c>
      <c r="AI78" s="29" t="e">
        <f>+AI77-AI76</f>
        <v>#REF!</v>
      </c>
      <c r="AJ78" s="29"/>
      <c r="AK78" s="29" t="e">
        <f>+AK77-AK76</f>
        <v>#REF!</v>
      </c>
      <c r="AL78" s="29"/>
      <c r="AM78" s="29" t="e">
        <f>+AM77-AM76</f>
        <v>#REF!</v>
      </c>
      <c r="AN78" s="29"/>
      <c r="AO78" s="29" t="e">
        <f>+AO77-AO76</f>
        <v>#REF!</v>
      </c>
      <c r="AQ78" s="29" t="e">
        <f t="shared" ref="AQ78:AS78" si="331">+AQ77-AQ76</f>
        <v>#REF!</v>
      </c>
      <c r="AR78" s="29" t="e">
        <f t="shared" si="331"/>
        <v>#REF!</v>
      </c>
      <c r="AS78" s="29" t="e">
        <f t="shared" si="331"/>
        <v>#REF!</v>
      </c>
    </row>
    <row r="79" spans="1:45" x14ac:dyDescent="0.25">
      <c r="AI79" s="26"/>
      <c r="AJ79" s="26"/>
      <c r="AK79" s="26"/>
      <c r="AL79" s="26"/>
      <c r="AM79" s="26"/>
      <c r="AN79" s="26"/>
      <c r="AO79" s="26"/>
      <c r="AQ79" s="26"/>
      <c r="AR79" s="26"/>
      <c r="AS79" s="26"/>
    </row>
    <row r="80" spans="1:45" ht="15.75" thickBot="1" x14ac:dyDescent="0.3">
      <c r="AH80" s="33" t="s">
        <v>79</v>
      </c>
      <c r="AI80" s="30" t="e">
        <f>+AI74-AI78</f>
        <v>#REF!</v>
      </c>
      <c r="AJ80" s="31"/>
      <c r="AK80" s="30" t="e">
        <f>+AK74-AK78</f>
        <v>#REF!</v>
      </c>
      <c r="AL80" s="31"/>
      <c r="AM80" s="30" t="e">
        <f>+AM74-AM78</f>
        <v>#REF!</v>
      </c>
      <c r="AN80" s="31"/>
      <c r="AO80" s="30" t="e">
        <f>+AO74-AO78</f>
        <v>#REF!</v>
      </c>
      <c r="AQ80" s="30" t="e">
        <f t="shared" ref="AQ80:AR80" si="332">+AQ74-AQ78</f>
        <v>#REF!</v>
      </c>
      <c r="AR80" s="30" t="e">
        <f t="shared" si="332"/>
        <v>#REF!</v>
      </c>
      <c r="AS80" s="30" t="e">
        <f t="shared" ref="AS80" si="333">+AS74-AS78</f>
        <v>#REF!</v>
      </c>
    </row>
    <row r="81" spans="35:41" ht="15.75" thickTop="1" x14ac:dyDescent="0.25"/>
    <row r="82" spans="35:41" x14ac:dyDescent="0.25">
      <c r="AI82" s="29"/>
      <c r="AK82" s="29"/>
      <c r="AM82" s="29"/>
      <c r="AO82" s="29"/>
    </row>
  </sheetData>
  <mergeCells count="3">
    <mergeCell ref="A1:U1"/>
    <mergeCell ref="A2:U2"/>
    <mergeCell ref="A3:U3"/>
  </mergeCells>
  <phoneticPr fontId="1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771D-FB98-4423-8325-9565B96888BF}">
  <dimension ref="B1:BB153"/>
  <sheetViews>
    <sheetView showGridLines="0" topLeftCell="AQ27" zoomScale="130" zoomScaleNormal="130" workbookViewId="0">
      <selection activeCell="AY39" sqref="AY39"/>
    </sheetView>
  </sheetViews>
  <sheetFormatPr defaultRowHeight="15" x14ac:dyDescent="0.25"/>
  <cols>
    <col min="2" max="2" width="53.7109375" bestFit="1" customWidth="1"/>
    <col min="3" max="5" width="18.5703125" bestFit="1" customWidth="1"/>
    <col min="7" max="7" width="34" customWidth="1"/>
    <col min="8" max="8" width="13.140625" customWidth="1"/>
    <col min="9" max="9" width="13.85546875" customWidth="1"/>
    <col min="10" max="10" width="15.140625" customWidth="1"/>
    <col min="13" max="13" width="19.28515625" hidden="1" customWidth="1"/>
    <col min="14" max="14" width="11.5703125" hidden="1" customWidth="1"/>
    <col min="15" max="30" width="0" hidden="1" customWidth="1"/>
    <col min="31" max="31" width="11.5703125" bestFit="1" customWidth="1"/>
    <col min="36" max="36" width="10.42578125" bestFit="1" customWidth="1"/>
    <col min="37" max="37" width="11.140625" customWidth="1"/>
    <col min="38" max="38" width="10.140625" customWidth="1"/>
    <col min="39" max="39" width="5.7109375" customWidth="1"/>
    <col min="51" max="51" width="70" customWidth="1"/>
  </cols>
  <sheetData>
    <row r="1" spans="2:54" ht="15.75" thickBot="1" x14ac:dyDescent="0.3"/>
    <row r="2" spans="2:54" ht="47.25" x14ac:dyDescent="0.25">
      <c r="G2" s="94"/>
      <c r="H2" s="88" t="s">
        <v>154</v>
      </c>
      <c r="I2" s="88" t="s">
        <v>100</v>
      </c>
      <c r="J2" s="89" t="s">
        <v>122</v>
      </c>
    </row>
    <row r="3" spans="2:54" ht="18.399999999999999" customHeight="1" x14ac:dyDescent="0.25">
      <c r="G3" s="95"/>
      <c r="H3" s="90" t="s">
        <v>155</v>
      </c>
      <c r="I3" s="90" t="s">
        <v>99</v>
      </c>
      <c r="J3" s="91" t="s">
        <v>98</v>
      </c>
    </row>
    <row r="4" spans="2:54" ht="15.75" x14ac:dyDescent="0.25">
      <c r="G4" s="95"/>
      <c r="H4" s="182"/>
      <c r="I4" s="182"/>
      <c r="J4" s="96"/>
    </row>
    <row r="5" spans="2:54" ht="15.75" x14ac:dyDescent="0.25">
      <c r="G5" s="97" t="s">
        <v>20</v>
      </c>
      <c r="H5" s="186">
        <f>+C24</f>
        <v>260754.14</v>
      </c>
      <c r="I5" s="186">
        <f>+D22</f>
        <v>225000</v>
      </c>
      <c r="J5" s="187">
        <f>+E22</f>
        <v>242500</v>
      </c>
    </row>
    <row r="6" spans="2:54" ht="15.75" x14ac:dyDescent="0.25">
      <c r="G6" s="97" t="s">
        <v>116</v>
      </c>
      <c r="H6" s="92">
        <f>+C25</f>
        <v>20763</v>
      </c>
      <c r="I6" s="92">
        <f>+D25</f>
        <v>55950</v>
      </c>
      <c r="J6" s="98">
        <f>+E25</f>
        <v>58306.09600000002</v>
      </c>
    </row>
    <row r="7" spans="2:54" ht="15.75" x14ac:dyDescent="0.25">
      <c r="G7" s="97" t="s">
        <v>59</v>
      </c>
      <c r="H7" s="92">
        <f>-C27</f>
        <v>-281517.14</v>
      </c>
      <c r="I7" s="92">
        <f>-D125</f>
        <v>-280950</v>
      </c>
      <c r="J7" s="183">
        <f>-E125</f>
        <v>-300806.09600000002</v>
      </c>
    </row>
    <row r="8" spans="2:54" ht="15.75" x14ac:dyDescent="0.25">
      <c r="G8" s="95"/>
      <c r="H8" s="93"/>
      <c r="I8" s="93"/>
      <c r="J8" s="99"/>
    </row>
    <row r="9" spans="2:54" ht="16.5" thickBot="1" x14ac:dyDescent="0.3">
      <c r="G9" s="133" t="s">
        <v>60</v>
      </c>
      <c r="H9" s="184">
        <v>0</v>
      </c>
      <c r="I9" s="184">
        <v>0</v>
      </c>
      <c r="J9" s="185">
        <v>0</v>
      </c>
    </row>
    <row r="10" spans="2:54" ht="16.5" thickTop="1" thickBot="1" x14ac:dyDescent="0.3">
      <c r="G10" s="100"/>
      <c r="H10" s="101"/>
      <c r="I10" s="101"/>
      <c r="J10" s="102"/>
    </row>
    <row r="11" spans="2:54" ht="12" customHeight="1" x14ac:dyDescent="0.25">
      <c r="AL11" s="264" t="s">
        <v>145</v>
      </c>
    </row>
    <row r="12" spans="2:54" ht="12" customHeight="1" thickBot="1" x14ac:dyDescent="0.3">
      <c r="L12" s="246" t="s">
        <v>139</v>
      </c>
      <c r="M12" s="247"/>
      <c r="N12" s="247"/>
      <c r="O12" s="248"/>
      <c r="P12" s="246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9"/>
      <c r="AE12" s="250" t="s">
        <v>140</v>
      </c>
      <c r="AF12" s="250" t="s">
        <v>119</v>
      </c>
      <c r="AG12" s="250" t="s">
        <v>141</v>
      </c>
      <c r="AH12" s="250"/>
      <c r="AI12" s="246"/>
      <c r="AJ12" s="251" t="s">
        <v>139</v>
      </c>
      <c r="AK12" s="252" t="s">
        <v>140</v>
      </c>
      <c r="AL12" s="265" t="s">
        <v>146</v>
      </c>
      <c r="AM12" s="252" t="s">
        <v>147</v>
      </c>
      <c r="AN12" s="246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9"/>
    </row>
    <row r="13" spans="2:54" ht="15.95" customHeight="1" x14ac:dyDescent="0.25">
      <c r="B13" s="51"/>
      <c r="C13" s="74" t="s">
        <v>101</v>
      </c>
      <c r="D13" s="74" t="s">
        <v>100</v>
      </c>
      <c r="E13" s="75" t="s">
        <v>100</v>
      </c>
      <c r="L13" s="253">
        <v>45352</v>
      </c>
      <c r="M13" s="254">
        <v>-8765.26</v>
      </c>
      <c r="N13" s="254">
        <v>-40999.94</v>
      </c>
      <c r="O13" s="254">
        <f>+M13-N13</f>
        <v>32234.68</v>
      </c>
      <c r="P13" s="254"/>
      <c r="Q13" s="254">
        <v>112933.62</v>
      </c>
      <c r="R13" s="254">
        <v>44554.85</v>
      </c>
      <c r="S13" s="254">
        <v>0</v>
      </c>
      <c r="T13" s="254">
        <v>37500</v>
      </c>
      <c r="U13" s="254">
        <v>906.14</v>
      </c>
      <c r="V13" s="254">
        <f>SUM(Q13:U13)</f>
        <v>195894.61000000002</v>
      </c>
      <c r="W13" s="254">
        <v>115453.66</v>
      </c>
      <c r="X13" s="254">
        <v>10573.47</v>
      </c>
      <c r="Y13" s="254">
        <v>18000</v>
      </c>
      <c r="Z13" s="254">
        <v>39633.379999999997</v>
      </c>
      <c r="AA13" s="254">
        <f>204659.9-W13-Y13-Z13-X13</f>
        <v>20999.389999999992</v>
      </c>
      <c r="AB13" s="254">
        <f>SUM(W13:AA13)</f>
        <v>204659.9</v>
      </c>
      <c r="AC13" s="254">
        <f>+V13-AB13</f>
        <v>-8765.289999999979</v>
      </c>
      <c r="AD13" s="255">
        <f>+AC13-M13</f>
        <v>-2.9999999978826963E-2</v>
      </c>
      <c r="AE13" s="256">
        <v>17355183</v>
      </c>
      <c r="AF13" s="256">
        <v>344055</v>
      </c>
      <c r="AG13" s="257">
        <f>+AF13/AE13</f>
        <v>1.9824337202321636E-2</v>
      </c>
      <c r="AH13" s="16"/>
      <c r="AJ13" s="260">
        <v>45352</v>
      </c>
      <c r="AK13" s="261">
        <f>+AE13/1000</f>
        <v>17355.183000000001</v>
      </c>
      <c r="AL13" s="261">
        <f>+AF13/1000</f>
        <v>344.05500000000001</v>
      </c>
      <c r="AM13" s="262">
        <f>+AL13/AK13</f>
        <v>1.9824337202321636E-2</v>
      </c>
    </row>
    <row r="14" spans="2:54" ht="15.75" customHeight="1" x14ac:dyDescent="0.25">
      <c r="B14" s="52"/>
      <c r="C14" s="76" t="s">
        <v>155</v>
      </c>
      <c r="D14" s="76" t="s">
        <v>99</v>
      </c>
      <c r="E14" s="77" t="s">
        <v>98</v>
      </c>
      <c r="L14" s="253">
        <v>45323</v>
      </c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5"/>
      <c r="AE14" s="256">
        <v>16998017</v>
      </c>
      <c r="AF14" s="256">
        <v>327147</v>
      </c>
      <c r="AG14" s="257">
        <f t="shared" ref="AG14:AG24" si="0">+AF14/AE14</f>
        <v>1.9246186187482927E-2</v>
      </c>
      <c r="AH14" s="16"/>
      <c r="AJ14" s="260">
        <v>45323</v>
      </c>
      <c r="AK14" s="261">
        <f t="shared" ref="AK14:AK24" si="1">+AE14/1000</f>
        <v>16998.017</v>
      </c>
      <c r="AL14" s="261">
        <f t="shared" ref="AL14:AL24" si="2">+AF14/1000</f>
        <v>327.14699999999999</v>
      </c>
      <c r="AM14" s="262">
        <f t="shared" ref="AM14:AM24" si="3">+AL14/AK14</f>
        <v>1.9246186187482927E-2</v>
      </c>
    </row>
    <row r="15" spans="2:54" ht="15.95" customHeight="1" thickBot="1" x14ac:dyDescent="0.3">
      <c r="B15" s="52"/>
      <c r="C15" s="280" t="s">
        <v>156</v>
      </c>
      <c r="D15" s="53"/>
      <c r="E15" s="229" t="s">
        <v>114</v>
      </c>
      <c r="L15" s="253">
        <v>45292</v>
      </c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5"/>
      <c r="AE15" s="256">
        <v>16641348</v>
      </c>
      <c r="AF15" s="256">
        <v>318614</v>
      </c>
      <c r="AG15" s="257">
        <f t="shared" si="0"/>
        <v>1.914592495752147E-2</v>
      </c>
      <c r="AH15" s="16"/>
      <c r="AJ15" s="260">
        <v>45292</v>
      </c>
      <c r="AK15" s="261">
        <f t="shared" si="1"/>
        <v>16641.348000000002</v>
      </c>
      <c r="AL15" s="261">
        <f t="shared" si="2"/>
        <v>318.61399999999998</v>
      </c>
      <c r="AM15" s="262">
        <f t="shared" si="3"/>
        <v>1.9145924957521467E-2</v>
      </c>
    </row>
    <row r="16" spans="2:54" ht="15.95" customHeight="1" thickBot="1" x14ac:dyDescent="0.3">
      <c r="B16" s="84" t="s">
        <v>12</v>
      </c>
      <c r="C16" s="53"/>
      <c r="D16" s="53"/>
      <c r="E16" s="54"/>
      <c r="L16" s="253">
        <v>45261</v>
      </c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5"/>
      <c r="AE16" s="256">
        <v>16661105</v>
      </c>
      <c r="AF16" s="256">
        <v>319327</v>
      </c>
      <c r="AG16" s="257">
        <f t="shared" si="0"/>
        <v>1.9166015699438904E-2</v>
      </c>
      <c r="AH16" s="16"/>
      <c r="AJ16" s="260">
        <v>45261</v>
      </c>
      <c r="AK16" s="261">
        <f t="shared" si="1"/>
        <v>16661.105</v>
      </c>
      <c r="AL16" s="261">
        <f t="shared" si="2"/>
        <v>319.327</v>
      </c>
      <c r="AM16" s="262">
        <f t="shared" si="3"/>
        <v>1.9166015699438904E-2</v>
      </c>
    </row>
    <row r="17" spans="2:51" ht="15.95" customHeight="1" x14ac:dyDescent="0.25">
      <c r="B17" s="55" t="s">
        <v>162</v>
      </c>
      <c r="C17" s="53"/>
      <c r="D17" s="53"/>
      <c r="E17" s="54"/>
      <c r="L17" s="253">
        <v>45231</v>
      </c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5"/>
      <c r="AE17" s="256">
        <v>15468216</v>
      </c>
      <c r="AF17" s="256">
        <v>326307</v>
      </c>
      <c r="AG17" s="257">
        <f t="shared" si="0"/>
        <v>2.1095322175485525E-2</v>
      </c>
      <c r="AH17" s="16"/>
      <c r="AJ17" s="260">
        <v>45231</v>
      </c>
      <c r="AK17" s="261">
        <f t="shared" si="1"/>
        <v>15468.216</v>
      </c>
      <c r="AL17" s="261">
        <f t="shared" si="2"/>
        <v>326.30700000000002</v>
      </c>
      <c r="AM17" s="262">
        <f t="shared" si="3"/>
        <v>2.1095322175485525E-2</v>
      </c>
    </row>
    <row r="18" spans="2:51" ht="15.95" customHeight="1" x14ac:dyDescent="0.25">
      <c r="B18" s="55" t="s">
        <v>128</v>
      </c>
      <c r="C18" s="244">
        <v>54235</v>
      </c>
      <c r="D18" s="188">
        <v>30000</v>
      </c>
      <c r="E18" s="189">
        <v>35000</v>
      </c>
      <c r="L18" s="253">
        <v>45200</v>
      </c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5"/>
      <c r="AE18" s="256">
        <v>14054630</v>
      </c>
      <c r="AF18" s="256">
        <v>304075</v>
      </c>
      <c r="AG18" s="257">
        <f t="shared" si="0"/>
        <v>2.1635219141307883E-2</v>
      </c>
      <c r="AH18" s="16"/>
      <c r="AJ18" s="260">
        <v>45200</v>
      </c>
      <c r="AK18" s="261">
        <f t="shared" si="1"/>
        <v>14054.63</v>
      </c>
      <c r="AL18" s="261">
        <f t="shared" si="2"/>
        <v>304.07499999999999</v>
      </c>
      <c r="AM18" s="262">
        <f t="shared" si="3"/>
        <v>2.1635219141307883E-2</v>
      </c>
    </row>
    <row r="19" spans="2:51" ht="15.95" customHeight="1" x14ac:dyDescent="0.25">
      <c r="B19" s="55" t="s">
        <v>129</v>
      </c>
      <c r="C19" s="215">
        <v>155613</v>
      </c>
      <c r="D19" s="215">
        <v>145000</v>
      </c>
      <c r="E19" s="216">
        <v>167500</v>
      </c>
      <c r="L19" s="253">
        <v>45170</v>
      </c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5"/>
      <c r="AE19" s="256">
        <v>14147639</v>
      </c>
      <c r="AF19" s="256">
        <v>312024</v>
      </c>
      <c r="AG19" s="257">
        <f t="shared" si="0"/>
        <v>2.2054846041802453E-2</v>
      </c>
      <c r="AH19" s="16"/>
      <c r="AJ19" s="260">
        <v>45170</v>
      </c>
      <c r="AK19" s="261">
        <f t="shared" si="1"/>
        <v>14147.638999999999</v>
      </c>
      <c r="AL19" s="261">
        <f t="shared" si="2"/>
        <v>312.024</v>
      </c>
      <c r="AM19" s="262">
        <f t="shared" si="3"/>
        <v>2.2054846041802453E-2</v>
      </c>
    </row>
    <row r="20" spans="2:51" ht="5.25" customHeight="1" x14ac:dyDescent="0.25">
      <c r="B20" s="55"/>
      <c r="C20" s="215"/>
      <c r="D20" s="215"/>
      <c r="E20" s="216"/>
      <c r="L20" s="253">
        <v>45139</v>
      </c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5"/>
      <c r="AE20" s="256">
        <v>14636584</v>
      </c>
      <c r="AF20" s="256">
        <v>331155</v>
      </c>
      <c r="AG20" s="257">
        <f t="shared" si="0"/>
        <v>2.2625156252305868E-2</v>
      </c>
      <c r="AH20" s="16"/>
      <c r="AJ20" s="260">
        <v>45139</v>
      </c>
      <c r="AK20" s="261">
        <f t="shared" si="1"/>
        <v>14636.584000000001</v>
      </c>
      <c r="AL20" s="261">
        <f t="shared" si="2"/>
        <v>331.15499999999997</v>
      </c>
      <c r="AM20" s="262">
        <f t="shared" si="3"/>
        <v>2.2625156252305864E-2</v>
      </c>
    </row>
    <row r="21" spans="2:51" ht="15.95" customHeight="1" x14ac:dyDescent="0.25">
      <c r="B21" s="55" t="s">
        <v>161</v>
      </c>
      <c r="C21" s="213">
        <v>50000</v>
      </c>
      <c r="D21" s="213">
        <v>50000</v>
      </c>
      <c r="E21" s="214">
        <v>40000</v>
      </c>
      <c r="L21" s="253">
        <v>45108</v>
      </c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5"/>
      <c r="AE21" s="256">
        <v>15208277</v>
      </c>
      <c r="AF21" s="256">
        <v>336565</v>
      </c>
      <c r="AG21" s="257">
        <f t="shared" si="0"/>
        <v>2.2130383343228165E-2</v>
      </c>
      <c r="AH21" s="16"/>
      <c r="AJ21" s="260">
        <v>45108</v>
      </c>
      <c r="AK21" s="261">
        <f t="shared" si="1"/>
        <v>15208.277</v>
      </c>
      <c r="AL21" s="261">
        <f t="shared" si="2"/>
        <v>336.565</v>
      </c>
      <c r="AM21" s="262">
        <f t="shared" si="3"/>
        <v>2.2130383343228165E-2</v>
      </c>
    </row>
    <row r="22" spans="2:51" ht="15.95" customHeight="1" x14ac:dyDescent="0.25">
      <c r="B22" s="55" t="s">
        <v>131</v>
      </c>
      <c r="C22" s="211">
        <f>+C18+C19+C21</f>
        <v>259848</v>
      </c>
      <c r="D22" s="211">
        <f t="shared" ref="D22:E22" si="4">+D18+D19+D21</f>
        <v>225000</v>
      </c>
      <c r="E22" s="212">
        <f t="shared" si="4"/>
        <v>242500</v>
      </c>
      <c r="G22" s="238"/>
      <c r="L22" s="258" t="s">
        <v>142</v>
      </c>
      <c r="M22" s="254">
        <v>-58305</v>
      </c>
      <c r="N22" s="254">
        <v>-50815</v>
      </c>
      <c r="O22" s="254">
        <f>+M22-N22</f>
        <v>-7490</v>
      </c>
      <c r="P22" s="254"/>
      <c r="Q22" s="254">
        <v>134056.49</v>
      </c>
      <c r="R22" s="254">
        <v>28459.47</v>
      </c>
      <c r="S22" s="254">
        <v>0</v>
      </c>
      <c r="T22" s="254">
        <v>40000</v>
      </c>
      <c r="U22" s="254">
        <v>819</v>
      </c>
      <c r="V22" s="254">
        <f>SUM(Q22:U22)</f>
        <v>203334.96</v>
      </c>
      <c r="W22" s="254">
        <v>139089</v>
      </c>
      <c r="X22" s="254">
        <v>15608.04</v>
      </c>
      <c r="Y22" s="259">
        <v>13623.34</v>
      </c>
      <c r="Z22" s="254">
        <v>37650</v>
      </c>
      <c r="AA22" s="254">
        <f>261638.44-W22-Y22-Z22-X22+2</f>
        <v>55670.060000000005</v>
      </c>
      <c r="AB22" s="254">
        <f>SUM(W22:AA22)</f>
        <v>261640.44</v>
      </c>
      <c r="AC22" s="255">
        <f>+V22-AB22</f>
        <v>-58305.48000000001</v>
      </c>
      <c r="AD22" s="254">
        <f>+AC22-M22</f>
        <v>-0.48000000001047738</v>
      </c>
      <c r="AE22" s="256">
        <v>14785968</v>
      </c>
      <c r="AF22" s="256">
        <v>328120</v>
      </c>
      <c r="AG22" s="257">
        <f t="shared" si="0"/>
        <v>2.2191310031240429E-2</v>
      </c>
      <c r="AH22" s="16"/>
      <c r="AJ22" s="263" t="s">
        <v>142</v>
      </c>
      <c r="AK22" s="261">
        <f t="shared" si="1"/>
        <v>14785.968000000001</v>
      </c>
      <c r="AL22" s="261">
        <f t="shared" si="2"/>
        <v>328.12</v>
      </c>
      <c r="AM22" s="262">
        <f t="shared" si="3"/>
        <v>2.2191310031240429E-2</v>
      </c>
    </row>
    <row r="23" spans="2:51" ht="15.95" customHeight="1" x14ac:dyDescent="0.25">
      <c r="B23" s="55" t="s">
        <v>130</v>
      </c>
      <c r="C23" s="213">
        <v>906.14</v>
      </c>
      <c r="D23" s="233">
        <v>0</v>
      </c>
      <c r="E23" s="234">
        <v>0</v>
      </c>
      <c r="L23" s="258" t="s">
        <v>143</v>
      </c>
      <c r="M23" s="254">
        <v>-50818</v>
      </c>
      <c r="N23" s="254">
        <v>-48211</v>
      </c>
      <c r="O23" s="254">
        <f>+M23-N23</f>
        <v>-2607</v>
      </c>
      <c r="P23" s="254"/>
      <c r="Q23" s="254">
        <v>150515</v>
      </c>
      <c r="R23" s="254">
        <v>32386</v>
      </c>
      <c r="S23" s="254">
        <f>250-4744+6328</f>
        <v>1834</v>
      </c>
      <c r="T23" s="254">
        <v>0</v>
      </c>
      <c r="U23" s="254">
        <v>56</v>
      </c>
      <c r="V23" s="254">
        <f>SUM(Q23:U23)</f>
        <v>184791</v>
      </c>
      <c r="W23" s="254">
        <v>123015.9</v>
      </c>
      <c r="X23" s="254">
        <v>12377.24</v>
      </c>
      <c r="Y23" s="254">
        <v>32732.67</v>
      </c>
      <c r="Z23" s="254">
        <v>36138.75</v>
      </c>
      <c r="AA23" s="254">
        <f>235608.86-W23-Y23-Z23-X23</f>
        <v>31344.299999999996</v>
      </c>
      <c r="AB23" s="254">
        <f>SUM(W23:AA23)</f>
        <v>235608.86</v>
      </c>
      <c r="AC23" s="255">
        <f>+V23-AB23</f>
        <v>-50817.859999999986</v>
      </c>
      <c r="AD23" s="254">
        <f>+AC23-M23</f>
        <v>0.14000000001396984</v>
      </c>
      <c r="AE23" s="256">
        <v>13411890.199999999</v>
      </c>
      <c r="AF23" s="256">
        <v>394256.02</v>
      </c>
      <c r="AG23" s="257">
        <f t="shared" si="0"/>
        <v>2.9396007134027985E-2</v>
      </c>
      <c r="AH23" s="16"/>
      <c r="AJ23" s="263" t="s">
        <v>143</v>
      </c>
      <c r="AK23" s="261">
        <f t="shared" si="1"/>
        <v>13411.8902</v>
      </c>
      <c r="AL23" s="261">
        <f t="shared" si="2"/>
        <v>394.25602000000003</v>
      </c>
      <c r="AM23" s="262">
        <f t="shared" si="3"/>
        <v>2.9396007134027985E-2</v>
      </c>
    </row>
    <row r="24" spans="2:51" ht="15.95" customHeight="1" x14ac:dyDescent="0.25">
      <c r="B24" s="55" t="s">
        <v>163</v>
      </c>
      <c r="C24" s="215">
        <f>+C22+C23</f>
        <v>260754.14</v>
      </c>
      <c r="D24" s="215">
        <f t="shared" ref="D24:E24" si="5">+D22+D23</f>
        <v>225000</v>
      </c>
      <c r="E24" s="216">
        <f t="shared" si="5"/>
        <v>242500</v>
      </c>
      <c r="L24" s="258" t="s">
        <v>144</v>
      </c>
      <c r="M24" s="256">
        <v>-54238</v>
      </c>
      <c r="N24" s="256">
        <v>-58850</v>
      </c>
      <c r="O24" s="256">
        <f>+M24-N24</f>
        <v>4612</v>
      </c>
      <c r="P24" s="256"/>
      <c r="Q24" s="256">
        <v>117114</v>
      </c>
      <c r="R24" s="256">
        <v>36234</v>
      </c>
      <c r="S24" s="256">
        <v>10250</v>
      </c>
      <c r="T24" s="256">
        <v>0</v>
      </c>
      <c r="U24" s="256">
        <v>51.95</v>
      </c>
      <c r="V24" s="256">
        <f>SUM(Q24:U24)</f>
        <v>163649.95000000001</v>
      </c>
      <c r="W24" s="256">
        <v>113924</v>
      </c>
      <c r="X24" s="256">
        <v>11818.51</v>
      </c>
      <c r="Y24" s="256">
        <v>24000</v>
      </c>
      <c r="Z24" s="256">
        <v>34011.339999999997</v>
      </c>
      <c r="AA24" s="256">
        <f>217887-W24-Y24-Z24-X24</f>
        <v>34133.15</v>
      </c>
      <c r="AB24" s="256">
        <f>SUM(W24:AA24)</f>
        <v>217887</v>
      </c>
      <c r="AC24" s="255">
        <f>+V24-AB24</f>
        <v>-54237.049999999988</v>
      </c>
      <c r="AD24" s="255">
        <f>+AC24-M24</f>
        <v>0.95000000001164153</v>
      </c>
      <c r="AE24" s="256">
        <v>15171281.039999999</v>
      </c>
      <c r="AF24" s="256">
        <v>492002.77</v>
      </c>
      <c r="AG24" s="257">
        <f t="shared" si="0"/>
        <v>3.2429876468757321E-2</v>
      </c>
      <c r="AH24" s="16"/>
      <c r="AJ24" s="263" t="s">
        <v>144</v>
      </c>
      <c r="AK24" s="261">
        <f t="shared" si="1"/>
        <v>15171.28104</v>
      </c>
      <c r="AL24" s="261">
        <f t="shared" si="2"/>
        <v>492.00277</v>
      </c>
      <c r="AM24" s="262">
        <f t="shared" si="3"/>
        <v>3.2429876468757314E-2</v>
      </c>
    </row>
    <row r="25" spans="2:51" ht="24.95" customHeight="1" x14ac:dyDescent="0.25">
      <c r="B25" s="55" t="s">
        <v>132</v>
      </c>
      <c r="C25" s="215">
        <f>20760+3</f>
        <v>20763</v>
      </c>
      <c r="D25" s="215">
        <f>+Budget!G18</f>
        <v>55950</v>
      </c>
      <c r="E25" s="216">
        <f>+Budget!H18</f>
        <v>58306.09600000002</v>
      </c>
    </row>
    <row r="26" spans="2:51" ht="16.5" customHeight="1" thickBot="1" x14ac:dyDescent="0.3">
      <c r="B26" s="55"/>
      <c r="C26" s="211"/>
      <c r="D26" s="211"/>
      <c r="E26" s="212"/>
    </row>
    <row r="27" spans="2:51" ht="24.95" customHeight="1" thickTop="1" thickBot="1" x14ac:dyDescent="0.3">
      <c r="B27" s="55" t="s">
        <v>20</v>
      </c>
      <c r="C27" s="217">
        <f>+C24+C25</f>
        <v>281517.14</v>
      </c>
      <c r="D27" s="217">
        <f t="shared" ref="D27:E27" si="6">+D24+D25</f>
        <v>280950</v>
      </c>
      <c r="E27" s="218">
        <f t="shared" si="6"/>
        <v>300806.09600000002</v>
      </c>
      <c r="AY27" s="266" t="s">
        <v>159</v>
      </c>
    </row>
    <row r="28" spans="2:51" ht="16.5" thickTop="1" x14ac:dyDescent="0.25">
      <c r="B28" s="52"/>
      <c r="C28" s="58"/>
      <c r="D28" s="58"/>
      <c r="E28" s="59"/>
      <c r="AY28" s="267"/>
    </row>
    <row r="29" spans="2:51" ht="16.5" thickBot="1" x14ac:dyDescent="0.3">
      <c r="B29" s="56"/>
      <c r="C29" s="60"/>
      <c r="D29" s="60"/>
      <c r="E29" s="61"/>
      <c r="AY29" s="268" t="s">
        <v>149</v>
      </c>
    </row>
    <row r="30" spans="2:51" ht="15.75" x14ac:dyDescent="0.25">
      <c r="B30" s="57"/>
      <c r="C30" s="62"/>
      <c r="D30" s="62"/>
      <c r="E30" s="62"/>
      <c r="AY30" s="268"/>
    </row>
    <row r="31" spans="2:51" ht="16.5" thickBot="1" x14ac:dyDescent="0.3">
      <c r="B31" s="57"/>
      <c r="C31" s="62"/>
      <c r="D31" s="62"/>
      <c r="E31" s="62"/>
      <c r="AY31" s="268" t="s">
        <v>148</v>
      </c>
    </row>
    <row r="32" spans="2:51" ht="15.75" x14ac:dyDescent="0.25">
      <c r="B32" s="156"/>
      <c r="C32" s="157" t="s">
        <v>101</v>
      </c>
      <c r="D32" s="157" t="s">
        <v>100</v>
      </c>
      <c r="E32" s="158" t="s">
        <v>100</v>
      </c>
      <c r="AY32" s="268"/>
    </row>
    <row r="33" spans="2:51" ht="16.5" thickBot="1" x14ac:dyDescent="0.3">
      <c r="B33" s="159"/>
      <c r="C33" s="160" t="s">
        <v>155</v>
      </c>
      <c r="D33" s="160" t="s">
        <v>99</v>
      </c>
      <c r="E33" s="161" t="s">
        <v>98</v>
      </c>
      <c r="AY33" s="268" t="s">
        <v>158</v>
      </c>
    </row>
    <row r="34" spans="2:51" ht="16.5" thickBot="1" x14ac:dyDescent="0.3">
      <c r="B34" s="162" t="s">
        <v>22</v>
      </c>
      <c r="C34" s="285" t="s">
        <v>156</v>
      </c>
      <c r="D34" s="163"/>
      <c r="E34" s="237" t="s">
        <v>114</v>
      </c>
      <c r="AY34" s="268" t="s">
        <v>150</v>
      </c>
    </row>
    <row r="35" spans="2:51" ht="15.75" x14ac:dyDescent="0.25">
      <c r="B35" s="165"/>
      <c r="C35" s="166"/>
      <c r="D35" s="166"/>
      <c r="E35" s="167"/>
      <c r="AY35" s="268"/>
    </row>
    <row r="36" spans="2:51" ht="16.5" thickBot="1" x14ac:dyDescent="0.3">
      <c r="B36" s="170" t="s">
        <v>107</v>
      </c>
      <c r="C36" s="223">
        <v>147658</v>
      </c>
      <c r="D36" s="223">
        <f>+D56</f>
        <v>156075</v>
      </c>
      <c r="E36" s="224">
        <f>+E56</f>
        <v>185956.09599999999</v>
      </c>
      <c r="AY36" s="269" t="s">
        <v>160</v>
      </c>
    </row>
    <row r="37" spans="2:51" ht="16.5" thickTop="1" x14ac:dyDescent="0.25">
      <c r="B37" s="170" t="s">
        <v>151</v>
      </c>
      <c r="C37" s="225">
        <f>+C79</f>
        <v>59903.99</v>
      </c>
      <c r="D37" s="225">
        <f>+D79</f>
        <v>71025</v>
      </c>
      <c r="E37" s="226">
        <f>+E79</f>
        <v>55900</v>
      </c>
      <c r="AY37" s="268"/>
    </row>
    <row r="38" spans="2:51" ht="15.75" x14ac:dyDescent="0.25">
      <c r="B38" s="170" t="s">
        <v>108</v>
      </c>
      <c r="C38" s="223">
        <f>+C93</f>
        <v>46599.31</v>
      </c>
      <c r="D38" s="223">
        <f>+D93</f>
        <v>36900</v>
      </c>
      <c r="E38" s="224">
        <f>+E93</f>
        <v>39900</v>
      </c>
    </row>
    <row r="39" spans="2:51" ht="15.75" x14ac:dyDescent="0.25">
      <c r="B39" s="170" t="s">
        <v>109</v>
      </c>
      <c r="C39" s="223">
        <f>+C123</f>
        <v>27355.269999999997</v>
      </c>
      <c r="D39" s="223">
        <f>+D123</f>
        <v>16950</v>
      </c>
      <c r="E39" s="224">
        <f>+E123</f>
        <v>19050</v>
      </c>
    </row>
    <row r="40" spans="2:51" ht="15.75" x14ac:dyDescent="0.25">
      <c r="B40" s="165"/>
      <c r="C40" s="166"/>
      <c r="D40" s="166"/>
      <c r="E40" s="167"/>
    </row>
    <row r="41" spans="2:51" ht="15.75" x14ac:dyDescent="0.25">
      <c r="B41" s="165"/>
      <c r="C41" s="168"/>
      <c r="D41" s="168"/>
      <c r="E41" s="169"/>
    </row>
    <row r="42" spans="2:51" ht="16.5" thickBot="1" x14ac:dyDescent="0.3">
      <c r="B42" s="170" t="s">
        <v>118</v>
      </c>
      <c r="C42" s="210">
        <f>SUM(C36:C39)</f>
        <v>281516.57</v>
      </c>
      <c r="D42" s="210">
        <f t="shared" ref="D42:E42" si="7">SUM(D36:D39)</f>
        <v>280950</v>
      </c>
      <c r="E42" s="245">
        <f t="shared" si="7"/>
        <v>300806.09600000002</v>
      </c>
    </row>
    <row r="43" spans="2:51" ht="17.25" thickTop="1" thickBot="1" x14ac:dyDescent="0.3">
      <c r="B43" s="171"/>
      <c r="C43" s="174"/>
      <c r="D43" s="172"/>
      <c r="E43" s="173"/>
    </row>
    <row r="44" spans="2:51" ht="15.75" x14ac:dyDescent="0.25">
      <c r="B44" s="57"/>
      <c r="C44" s="62"/>
      <c r="D44" s="62"/>
      <c r="E44" s="62"/>
    </row>
    <row r="45" spans="2:51" ht="15.75" thickBot="1" x14ac:dyDescent="0.3"/>
    <row r="46" spans="2:51" ht="15.75" x14ac:dyDescent="0.25">
      <c r="B46" s="113"/>
      <c r="C46" s="70" t="s">
        <v>101</v>
      </c>
      <c r="D46" s="70" t="s">
        <v>100</v>
      </c>
      <c r="E46" s="71" t="s">
        <v>100</v>
      </c>
    </row>
    <row r="47" spans="2:51" ht="16.5" thickBot="1" x14ac:dyDescent="0.3">
      <c r="B47" s="114"/>
      <c r="C47" s="72" t="s">
        <v>155</v>
      </c>
      <c r="D47" s="72" t="s">
        <v>99</v>
      </c>
      <c r="E47" s="73" t="s">
        <v>98</v>
      </c>
    </row>
    <row r="48" spans="2:51" ht="16.5" thickBot="1" x14ac:dyDescent="0.3">
      <c r="B48" s="85" t="s">
        <v>107</v>
      </c>
      <c r="C48" s="284" t="s">
        <v>156</v>
      </c>
      <c r="D48" s="83"/>
      <c r="E48" s="231" t="s">
        <v>114</v>
      </c>
    </row>
    <row r="49" spans="2:5" ht="15.75" x14ac:dyDescent="0.25">
      <c r="B49" s="115" t="s">
        <v>133</v>
      </c>
      <c r="C49" s="65"/>
      <c r="D49" s="65"/>
      <c r="E49" s="116"/>
    </row>
    <row r="50" spans="2:5" ht="15.75" x14ac:dyDescent="0.25">
      <c r="B50" s="115" t="s">
        <v>134</v>
      </c>
      <c r="C50" s="194">
        <v>5088.88</v>
      </c>
      <c r="D50" s="235">
        <v>0</v>
      </c>
      <c r="E50" s="236">
        <v>3600</v>
      </c>
    </row>
    <row r="51" spans="2:5" ht="15.75" x14ac:dyDescent="0.25">
      <c r="B51" s="115" t="s">
        <v>135</v>
      </c>
      <c r="C51" s="195">
        <v>128281.1</v>
      </c>
      <c r="D51" s="195">
        <v>140977</v>
      </c>
      <c r="E51" s="196">
        <f>+Budget!H36</f>
        <v>156687.35999999999</v>
      </c>
    </row>
    <row r="52" spans="2:5" ht="15.75" x14ac:dyDescent="0.25">
      <c r="B52" s="115" t="s">
        <v>136</v>
      </c>
      <c r="C52" s="227">
        <v>0</v>
      </c>
      <c r="D52" s="227">
        <v>0</v>
      </c>
      <c r="E52" s="196">
        <v>9000</v>
      </c>
    </row>
    <row r="53" spans="2:5" ht="15.75" x14ac:dyDescent="0.25">
      <c r="B53" s="115" t="s">
        <v>137</v>
      </c>
      <c r="C53" s="195">
        <v>739.76</v>
      </c>
      <c r="D53" s="195">
        <v>1000</v>
      </c>
      <c r="E53" s="196">
        <v>1000.0000000000001</v>
      </c>
    </row>
    <row r="54" spans="2:5" ht="15.75" x14ac:dyDescent="0.25">
      <c r="B54" s="115" t="s">
        <v>138</v>
      </c>
      <c r="C54" s="195">
        <v>13548</v>
      </c>
      <c r="D54" s="195">
        <v>14098</v>
      </c>
      <c r="E54" s="196">
        <f>+Budget!H39</f>
        <v>15668.736000000004</v>
      </c>
    </row>
    <row r="55" spans="2:5" ht="15.75" x14ac:dyDescent="0.25">
      <c r="B55" s="115"/>
      <c r="C55" s="66"/>
      <c r="D55" s="66"/>
      <c r="E55" s="117"/>
    </row>
    <row r="56" spans="2:5" ht="16.5" thickBot="1" x14ac:dyDescent="0.3">
      <c r="B56" s="132" t="s">
        <v>11</v>
      </c>
      <c r="C56" s="197">
        <f>(((C49)+(C51))+(C53))+(C54)+C50</f>
        <v>147657.74</v>
      </c>
      <c r="D56" s="197">
        <f t="shared" ref="D56" si="8">(((D49)+(D51))+(D53))+(D54)+D50</f>
        <v>156075</v>
      </c>
      <c r="E56" s="198">
        <f>(((E49)+(E51))+(E53))+(E54)+E50+E52</f>
        <v>185956.09599999999</v>
      </c>
    </row>
    <row r="57" spans="2:5" ht="17.25" thickTop="1" thickBot="1" x14ac:dyDescent="0.3">
      <c r="B57" s="118"/>
      <c r="C57" s="119"/>
      <c r="D57" s="119"/>
      <c r="E57" s="120"/>
    </row>
    <row r="58" spans="2:5" ht="15.75" x14ac:dyDescent="0.25">
      <c r="B58" s="57"/>
      <c r="C58" s="62"/>
      <c r="D58" s="62"/>
      <c r="E58" s="62"/>
    </row>
    <row r="59" spans="2:5" ht="15.75" x14ac:dyDescent="0.25">
      <c r="B59" s="57"/>
      <c r="C59" s="62"/>
      <c r="D59" s="62"/>
      <c r="E59" s="62"/>
    </row>
    <row r="60" spans="2:5" ht="16.5" thickBot="1" x14ac:dyDescent="0.3">
      <c r="B60" s="57"/>
      <c r="C60" s="62"/>
      <c r="D60" s="62"/>
      <c r="E60" s="62"/>
    </row>
    <row r="61" spans="2:5" ht="15.75" x14ac:dyDescent="0.25">
      <c r="B61" s="103"/>
      <c r="C61" s="78" t="s">
        <v>101</v>
      </c>
      <c r="D61" s="78" t="s">
        <v>100</v>
      </c>
      <c r="E61" s="79" t="s">
        <v>100</v>
      </c>
    </row>
    <row r="62" spans="2:5" ht="15.75" x14ac:dyDescent="0.25">
      <c r="B62" s="104"/>
      <c r="C62" s="80" t="s">
        <v>155</v>
      </c>
      <c r="D62" s="80" t="s">
        <v>99</v>
      </c>
      <c r="E62" s="81" t="s">
        <v>98</v>
      </c>
    </row>
    <row r="63" spans="2:5" ht="16.5" thickBot="1" x14ac:dyDescent="0.3">
      <c r="B63" s="104"/>
      <c r="C63" s="282" t="s">
        <v>157</v>
      </c>
      <c r="D63" s="82"/>
      <c r="E63" s="230" t="s">
        <v>114</v>
      </c>
    </row>
    <row r="64" spans="2:5" ht="16.5" thickBot="1" x14ac:dyDescent="0.3">
      <c r="B64" s="87" t="s">
        <v>127</v>
      </c>
      <c r="C64" s="82"/>
      <c r="D64" s="82"/>
      <c r="E64" s="105"/>
    </row>
    <row r="65" spans="2:5" ht="15.75" x14ac:dyDescent="0.25">
      <c r="B65" s="106"/>
      <c r="C65" s="82"/>
      <c r="D65" s="82"/>
      <c r="E65" s="105"/>
    </row>
    <row r="66" spans="2:5" ht="20.100000000000001" customHeight="1" x14ac:dyDescent="0.25">
      <c r="B66" s="106" t="s">
        <v>71</v>
      </c>
      <c r="C66" s="190">
        <v>9486</v>
      </c>
      <c r="D66" s="190">
        <v>5000</v>
      </c>
      <c r="E66" s="191">
        <v>5000</v>
      </c>
    </row>
    <row r="67" spans="2:5" ht="29.25" customHeight="1" x14ac:dyDescent="0.25">
      <c r="B67" s="106" t="s">
        <v>23</v>
      </c>
      <c r="C67" s="107">
        <v>14000</v>
      </c>
      <c r="D67" s="107">
        <v>12000</v>
      </c>
      <c r="E67" s="108">
        <v>12000</v>
      </c>
    </row>
    <row r="68" spans="2:5" ht="33" customHeight="1" x14ac:dyDescent="0.25">
      <c r="B68" s="106" t="s">
        <v>125</v>
      </c>
      <c r="C68" s="107">
        <v>5000</v>
      </c>
      <c r="D68" s="242">
        <v>10000</v>
      </c>
      <c r="E68" s="243">
        <v>2000</v>
      </c>
    </row>
    <row r="69" spans="2:5" ht="20.100000000000001" customHeight="1" x14ac:dyDescent="0.25">
      <c r="B69" s="106" t="s">
        <v>124</v>
      </c>
      <c r="C69" s="107">
        <v>1553</v>
      </c>
      <c r="D69" s="107">
        <v>100</v>
      </c>
      <c r="E69" s="108">
        <v>1000</v>
      </c>
    </row>
    <row r="70" spans="2:5" ht="20.100000000000001" customHeight="1" x14ac:dyDescent="0.25">
      <c r="B70" s="106" t="s">
        <v>26</v>
      </c>
      <c r="C70" s="107">
        <v>1200</v>
      </c>
      <c r="D70" s="107">
        <v>1200</v>
      </c>
      <c r="E70" s="108">
        <v>1200</v>
      </c>
    </row>
    <row r="71" spans="2:5" ht="20.100000000000001" customHeight="1" x14ac:dyDescent="0.25">
      <c r="B71" s="106" t="s">
        <v>27</v>
      </c>
      <c r="C71" s="107">
        <v>250</v>
      </c>
      <c r="D71" s="242">
        <v>6175</v>
      </c>
      <c r="E71" s="243">
        <v>3500</v>
      </c>
    </row>
    <row r="72" spans="2:5" ht="20.100000000000001" customHeight="1" x14ac:dyDescent="0.25">
      <c r="B72" s="106" t="s">
        <v>103</v>
      </c>
      <c r="C72" s="107">
        <v>1117.81</v>
      </c>
      <c r="D72" s="107">
        <v>0</v>
      </c>
      <c r="E72" s="108">
        <v>0</v>
      </c>
    </row>
    <row r="73" spans="2:5" ht="20.100000000000001" customHeight="1" x14ac:dyDescent="0.25">
      <c r="B73" s="106" t="s">
        <v>28</v>
      </c>
      <c r="C73" s="107">
        <v>2097.1799999999998</v>
      </c>
      <c r="D73" s="107">
        <v>5000</v>
      </c>
      <c r="E73" s="108">
        <v>2500</v>
      </c>
    </row>
    <row r="74" spans="2:5" ht="20.100000000000001" customHeight="1" x14ac:dyDescent="0.25">
      <c r="B74" s="106" t="s">
        <v>72</v>
      </c>
      <c r="C74" s="107">
        <v>24000</v>
      </c>
      <c r="D74" s="242">
        <v>29000</v>
      </c>
      <c r="E74" s="243">
        <v>26000</v>
      </c>
    </row>
    <row r="75" spans="2:5" ht="20.100000000000001" customHeight="1" x14ac:dyDescent="0.25">
      <c r="B75" s="106" t="s">
        <v>29</v>
      </c>
      <c r="C75" s="107">
        <v>0</v>
      </c>
      <c r="D75" s="107">
        <v>50</v>
      </c>
      <c r="E75" s="108">
        <v>200</v>
      </c>
    </row>
    <row r="76" spans="2:5" ht="20.100000000000001" customHeight="1" x14ac:dyDescent="0.25">
      <c r="B76" s="106" t="s">
        <v>30</v>
      </c>
      <c r="C76" s="107">
        <v>1200</v>
      </c>
      <c r="D76" s="107">
        <v>2000</v>
      </c>
      <c r="E76" s="108">
        <v>2000</v>
      </c>
    </row>
    <row r="77" spans="2:5" ht="20.100000000000001" customHeight="1" x14ac:dyDescent="0.25">
      <c r="B77" s="106" t="s">
        <v>31</v>
      </c>
      <c r="C77" s="107">
        <v>0</v>
      </c>
      <c r="D77" s="107">
        <v>500</v>
      </c>
      <c r="E77" s="108">
        <v>500.00000000000011</v>
      </c>
    </row>
    <row r="78" spans="2:5" ht="15.75" x14ac:dyDescent="0.25">
      <c r="B78" s="104"/>
      <c r="C78" s="63"/>
      <c r="D78" s="63"/>
      <c r="E78" s="109"/>
    </row>
    <row r="79" spans="2:5" ht="16.5" thickBot="1" x14ac:dyDescent="0.3">
      <c r="B79" s="131" t="s">
        <v>105</v>
      </c>
      <c r="C79" s="192">
        <f>SUM(C66:C78)</f>
        <v>59903.99</v>
      </c>
      <c r="D79" s="192">
        <f t="shared" ref="D79:E79" si="9">SUM(D66:D78)</f>
        <v>71025</v>
      </c>
      <c r="E79" s="193">
        <f t="shared" si="9"/>
        <v>55900</v>
      </c>
    </row>
    <row r="80" spans="2:5" ht="17.25" thickTop="1" thickBot="1" x14ac:dyDescent="0.3">
      <c r="B80" s="110"/>
      <c r="C80" s="111"/>
      <c r="D80" s="111"/>
      <c r="E80" s="112"/>
    </row>
    <row r="81" spans="2:5" ht="15.75" x14ac:dyDescent="0.25">
      <c r="B81" s="57"/>
      <c r="C81" s="64"/>
      <c r="D81" s="64"/>
      <c r="E81" s="64"/>
    </row>
    <row r="83" spans="2:5" ht="20.100000000000001" customHeight="1" x14ac:dyDescent="0.25"/>
    <row r="84" spans="2:5" ht="20.100000000000001" customHeight="1" thickBot="1" x14ac:dyDescent="0.3">
      <c r="B84" s="57"/>
      <c r="C84" s="67"/>
      <c r="D84" s="67"/>
      <c r="E84" s="67"/>
    </row>
    <row r="85" spans="2:5" ht="20.100000000000001" customHeight="1" x14ac:dyDescent="0.25">
      <c r="B85" s="134"/>
      <c r="C85" s="135" t="s">
        <v>101</v>
      </c>
      <c r="D85" s="135" t="s">
        <v>100</v>
      </c>
      <c r="E85" s="136" t="s">
        <v>100</v>
      </c>
    </row>
    <row r="86" spans="2:5" ht="20.100000000000001" customHeight="1" thickBot="1" x14ac:dyDescent="0.3">
      <c r="B86" s="137"/>
      <c r="C86" s="138" t="s">
        <v>155</v>
      </c>
      <c r="D86" s="138" t="s">
        <v>99</v>
      </c>
      <c r="E86" s="139" t="s">
        <v>98</v>
      </c>
    </row>
    <row r="87" spans="2:5" ht="20.100000000000001" customHeight="1" thickBot="1" x14ac:dyDescent="0.3">
      <c r="B87" s="140" t="s">
        <v>108</v>
      </c>
      <c r="C87" s="281" t="s">
        <v>156</v>
      </c>
      <c r="D87" s="141"/>
      <c r="E87" s="228" t="s">
        <v>114</v>
      </c>
    </row>
    <row r="88" spans="2:5" ht="20.100000000000001" customHeight="1" x14ac:dyDescent="0.25">
      <c r="B88" s="142" t="s">
        <v>37</v>
      </c>
      <c r="C88" s="143"/>
      <c r="D88" s="143"/>
      <c r="E88" s="144"/>
    </row>
    <row r="89" spans="2:5" ht="20.100000000000001" customHeight="1" x14ac:dyDescent="0.25">
      <c r="B89" s="142" t="s">
        <v>126</v>
      </c>
      <c r="C89" s="199">
        <v>26400</v>
      </c>
      <c r="D89" s="199">
        <v>26400</v>
      </c>
      <c r="E89" s="200">
        <f>2200*12</f>
        <v>26400</v>
      </c>
    </row>
    <row r="90" spans="2:5" ht="20.100000000000001" customHeight="1" x14ac:dyDescent="0.25">
      <c r="B90" s="142" t="s">
        <v>39</v>
      </c>
      <c r="C90" s="201">
        <v>12500</v>
      </c>
      <c r="D90" s="201">
        <v>9500</v>
      </c>
      <c r="E90" s="202">
        <v>12500</v>
      </c>
    </row>
    <row r="91" spans="2:5" ht="20.100000000000001" customHeight="1" x14ac:dyDescent="0.25">
      <c r="B91" s="142" t="s">
        <v>40</v>
      </c>
      <c r="C91" s="201">
        <v>7699.31</v>
      </c>
      <c r="D91" s="201">
        <v>1000</v>
      </c>
      <c r="E91" s="202">
        <v>1000.0000000000001</v>
      </c>
    </row>
    <row r="92" spans="2:5" ht="20.100000000000001" customHeight="1" x14ac:dyDescent="0.25">
      <c r="B92" s="142"/>
      <c r="C92" s="145"/>
      <c r="D92" s="145"/>
      <c r="E92" s="146"/>
    </row>
    <row r="93" spans="2:5" ht="20.100000000000001" customHeight="1" thickBot="1" x14ac:dyDescent="0.3">
      <c r="B93" s="147" t="s">
        <v>110</v>
      </c>
      <c r="C93" s="203">
        <f t="shared" ref="C93:E93" si="10">(((C88)+(C89))+(C90))+(C91)</f>
        <v>46599.31</v>
      </c>
      <c r="D93" s="203">
        <f t="shared" si="10"/>
        <v>36900</v>
      </c>
      <c r="E93" s="204">
        <f t="shared" si="10"/>
        <v>39900</v>
      </c>
    </row>
    <row r="94" spans="2:5" ht="17.25" thickTop="1" thickBot="1" x14ac:dyDescent="0.3">
      <c r="B94" s="148"/>
      <c r="C94" s="149"/>
      <c r="D94" s="149"/>
      <c r="E94" s="150"/>
    </row>
    <row r="95" spans="2:5" ht="15.75" x14ac:dyDescent="0.25">
      <c r="B95" s="57"/>
      <c r="C95" s="62"/>
      <c r="D95" s="62"/>
      <c r="E95" s="62"/>
    </row>
    <row r="96" spans="2:5" ht="16.5" thickBot="1" x14ac:dyDescent="0.3">
      <c r="B96" s="57"/>
      <c r="C96" s="62"/>
      <c r="D96" s="62"/>
      <c r="E96" s="62"/>
    </row>
    <row r="97" spans="2:5" ht="15.75" x14ac:dyDescent="0.25">
      <c r="B97" s="121"/>
      <c r="C97" s="178" t="s">
        <v>101</v>
      </c>
      <c r="D97" s="178" t="s">
        <v>100</v>
      </c>
      <c r="E97" s="179" t="s">
        <v>100</v>
      </c>
    </row>
    <row r="98" spans="2:5" ht="16.5" thickBot="1" x14ac:dyDescent="0.3">
      <c r="B98" s="122"/>
      <c r="C98" s="177" t="s">
        <v>155</v>
      </c>
      <c r="D98" s="177" t="s">
        <v>99</v>
      </c>
      <c r="E98" s="126" t="s">
        <v>98</v>
      </c>
    </row>
    <row r="99" spans="2:5" ht="16.5" thickBot="1" x14ac:dyDescent="0.3">
      <c r="B99" s="86" t="s">
        <v>109</v>
      </c>
      <c r="C99" s="283" t="s">
        <v>156</v>
      </c>
      <c r="D99" s="124"/>
      <c r="E99" s="232" t="s">
        <v>114</v>
      </c>
    </row>
    <row r="100" spans="2:5" ht="20.100000000000001" customHeight="1" x14ac:dyDescent="0.25">
      <c r="B100" s="123" t="s">
        <v>42</v>
      </c>
      <c r="C100" s="124"/>
      <c r="D100" s="124"/>
      <c r="E100" s="125"/>
    </row>
    <row r="101" spans="2:5" ht="20.100000000000001" customHeight="1" x14ac:dyDescent="0.25">
      <c r="B101" s="123" t="s">
        <v>43</v>
      </c>
      <c r="C101" s="205">
        <v>8775.64</v>
      </c>
      <c r="D101" s="205">
        <v>9000</v>
      </c>
      <c r="E101" s="206">
        <v>9000</v>
      </c>
    </row>
    <row r="102" spans="2:5" ht="20.100000000000001" customHeight="1" x14ac:dyDescent="0.25">
      <c r="B102" s="123" t="s">
        <v>44</v>
      </c>
      <c r="C102" s="68">
        <f t="shared" ref="C102:E102" si="11">(C100)+(C101)</f>
        <v>8775.64</v>
      </c>
      <c r="D102" s="68">
        <f t="shared" si="11"/>
        <v>9000</v>
      </c>
      <c r="E102" s="127">
        <f t="shared" si="11"/>
        <v>9000</v>
      </c>
    </row>
    <row r="103" spans="2:5" ht="20.100000000000001" customHeight="1" x14ac:dyDescent="0.25">
      <c r="B103" s="123" t="s">
        <v>45</v>
      </c>
      <c r="C103" s="124"/>
      <c r="D103" s="124"/>
      <c r="E103" s="125">
        <v>0</v>
      </c>
    </row>
    <row r="104" spans="2:5" ht="20.100000000000001" customHeight="1" x14ac:dyDescent="0.25">
      <c r="B104" s="123" t="s">
        <v>46</v>
      </c>
      <c r="C104" s="124">
        <v>2245.61</v>
      </c>
      <c r="D104" s="124">
        <v>1000.0000000000001</v>
      </c>
      <c r="E104" s="125">
        <v>1000.0000000000001</v>
      </c>
    </row>
    <row r="105" spans="2:5" ht="20.100000000000001" customHeight="1" x14ac:dyDescent="0.25">
      <c r="B105" s="123" t="s">
        <v>47</v>
      </c>
      <c r="C105" s="124">
        <v>548.85</v>
      </c>
      <c r="D105" s="124">
        <v>500.00000000000011</v>
      </c>
      <c r="E105" s="125">
        <v>500.00000000000011</v>
      </c>
    </row>
    <row r="106" spans="2:5" ht="20.100000000000001" customHeight="1" x14ac:dyDescent="0.25">
      <c r="B106" s="123" t="s">
        <v>48</v>
      </c>
      <c r="C106" s="124">
        <v>318.74</v>
      </c>
      <c r="D106" s="124">
        <v>1000.0000000000001</v>
      </c>
      <c r="E106" s="125">
        <v>1000.0000000000001</v>
      </c>
    </row>
    <row r="107" spans="2:5" ht="20.100000000000001" customHeight="1" x14ac:dyDescent="0.25">
      <c r="B107" s="123" t="s">
        <v>49</v>
      </c>
      <c r="C107" s="124">
        <v>1575.04</v>
      </c>
      <c r="D107" s="124">
        <v>3000</v>
      </c>
      <c r="E107" s="125">
        <v>2000</v>
      </c>
    </row>
    <row r="108" spans="2:5" ht="20.100000000000001" customHeight="1" x14ac:dyDescent="0.25">
      <c r="B108" s="123" t="s">
        <v>50</v>
      </c>
      <c r="C108" s="124">
        <v>626</v>
      </c>
      <c r="D108" s="124">
        <v>150</v>
      </c>
      <c r="E108" s="125">
        <v>150</v>
      </c>
    </row>
    <row r="109" spans="2:5" ht="20.100000000000001" customHeight="1" x14ac:dyDescent="0.25">
      <c r="B109" s="123" t="s">
        <v>51</v>
      </c>
      <c r="C109" s="124">
        <v>1941.52</v>
      </c>
      <c r="D109" s="124">
        <v>1200</v>
      </c>
      <c r="E109" s="126">
        <v>1800</v>
      </c>
    </row>
    <row r="110" spans="2:5" ht="20.100000000000001" customHeight="1" x14ac:dyDescent="0.25">
      <c r="B110" s="123" t="s">
        <v>52</v>
      </c>
      <c r="C110" s="68">
        <f t="shared" ref="C110:E110" si="12">((((((C103)+(C104))+(C105))+(C106))+(C107))+(C108))+(C109)</f>
        <v>7255.76</v>
      </c>
      <c r="D110" s="68">
        <f t="shared" si="12"/>
        <v>6850</v>
      </c>
      <c r="E110" s="127">
        <f t="shared" si="12"/>
        <v>6450</v>
      </c>
    </row>
    <row r="111" spans="2:5" ht="20.100000000000001" customHeight="1" thickBot="1" x14ac:dyDescent="0.3">
      <c r="B111" s="180"/>
      <c r="C111" s="129"/>
      <c r="D111" s="129"/>
      <c r="E111" s="130"/>
    </row>
    <row r="112" spans="2:5" ht="20.100000000000001" customHeight="1" x14ac:dyDescent="0.25">
      <c r="B112" s="181"/>
      <c r="C112" s="178" t="s">
        <v>101</v>
      </c>
      <c r="D112" s="178" t="s">
        <v>100</v>
      </c>
      <c r="E112" s="179" t="s">
        <v>100</v>
      </c>
    </row>
    <row r="113" spans="2:6" ht="20.100000000000001" customHeight="1" thickBot="1" x14ac:dyDescent="0.3">
      <c r="B113" s="123"/>
      <c r="C113" s="177" t="s">
        <v>155</v>
      </c>
      <c r="D113" s="177" t="s">
        <v>99</v>
      </c>
      <c r="E113" s="126" t="s">
        <v>98</v>
      </c>
    </row>
    <row r="114" spans="2:6" ht="20.100000000000001" customHeight="1" thickBot="1" x14ac:dyDescent="0.3">
      <c r="B114" s="86" t="s">
        <v>123</v>
      </c>
      <c r="C114" s="283" t="s">
        <v>156</v>
      </c>
      <c r="D114" s="124"/>
      <c r="E114" s="232" t="s">
        <v>114</v>
      </c>
    </row>
    <row r="115" spans="2:6" ht="20.100000000000001" customHeight="1" x14ac:dyDescent="0.25">
      <c r="B115" s="123" t="s">
        <v>53</v>
      </c>
      <c r="C115" s="124">
        <v>142.12</v>
      </c>
      <c r="D115" s="124">
        <v>0</v>
      </c>
      <c r="E115" s="125">
        <v>0</v>
      </c>
    </row>
    <row r="116" spans="2:6" ht="20.100000000000001" customHeight="1" x14ac:dyDescent="0.25">
      <c r="B116" s="123" t="s">
        <v>54</v>
      </c>
      <c r="C116" s="124">
        <v>437.5</v>
      </c>
      <c r="D116" s="124">
        <v>249.99999999999994</v>
      </c>
      <c r="E116" s="125">
        <v>249.99999999999994</v>
      </c>
    </row>
    <row r="117" spans="2:6" ht="20.100000000000001" customHeight="1" x14ac:dyDescent="0.25">
      <c r="B117" s="123" t="s">
        <v>55</v>
      </c>
      <c r="C117" s="124">
        <v>2719.55</v>
      </c>
      <c r="D117" s="124">
        <v>500.00000000000011</v>
      </c>
      <c r="E117" s="125">
        <v>3000</v>
      </c>
    </row>
    <row r="118" spans="2:6" ht="20.100000000000001" customHeight="1" x14ac:dyDescent="0.25">
      <c r="B118" s="123" t="s">
        <v>56</v>
      </c>
      <c r="C118" s="124">
        <v>474.7</v>
      </c>
      <c r="D118" s="124">
        <v>200.00000000000006</v>
      </c>
      <c r="E118" s="125">
        <v>200.00000000000006</v>
      </c>
    </row>
    <row r="119" spans="2:6" ht="20.100000000000001" customHeight="1" x14ac:dyDescent="0.25">
      <c r="B119" s="123" t="s">
        <v>57</v>
      </c>
      <c r="C119" s="124">
        <v>0</v>
      </c>
      <c r="D119" s="124">
        <v>150</v>
      </c>
      <c r="E119" s="126">
        <v>150</v>
      </c>
    </row>
    <row r="120" spans="2:6" ht="20.100000000000001" customHeight="1" x14ac:dyDescent="0.25">
      <c r="B120" s="123" t="s">
        <v>58</v>
      </c>
      <c r="C120" s="68">
        <f t="shared" ref="C120:E120" si="13">((((C115)+(C116))+(C117))+(C118))+(C119)</f>
        <v>3773.87</v>
      </c>
      <c r="D120" s="68">
        <f t="shared" si="13"/>
        <v>1100</v>
      </c>
      <c r="E120" s="127">
        <f t="shared" si="13"/>
        <v>3600</v>
      </c>
    </row>
    <row r="121" spans="2:6" ht="20.100000000000001" customHeight="1" x14ac:dyDescent="0.25">
      <c r="B121" s="123" t="s">
        <v>106</v>
      </c>
      <c r="C121" s="152">
        <v>7550</v>
      </c>
      <c r="D121" s="152"/>
      <c r="E121" s="127"/>
    </row>
    <row r="122" spans="2:6" ht="20.100000000000001" customHeight="1" x14ac:dyDescent="0.25">
      <c r="B122" s="123"/>
      <c r="C122" s="69"/>
      <c r="D122" s="69"/>
      <c r="E122" s="127"/>
    </row>
    <row r="123" spans="2:6" ht="20.100000000000001" customHeight="1" x14ac:dyDescent="0.25">
      <c r="B123" s="151" t="s">
        <v>110</v>
      </c>
      <c r="C123" s="153">
        <f>+C121+C120+C110+C102</f>
        <v>27355.269999999997</v>
      </c>
      <c r="D123" s="153">
        <f t="shared" ref="D123:E123" si="14">+D121+D120+D110+D102</f>
        <v>16950</v>
      </c>
      <c r="E123" s="154">
        <f t="shared" si="14"/>
        <v>19050</v>
      </c>
    </row>
    <row r="124" spans="2:6" ht="20.100000000000001" customHeight="1" thickBot="1" x14ac:dyDescent="0.3">
      <c r="B124" s="123"/>
      <c r="C124" s="69"/>
      <c r="D124" s="69"/>
      <c r="E124" s="128"/>
    </row>
    <row r="125" spans="2:6" ht="20.100000000000001" customHeight="1" thickBot="1" x14ac:dyDescent="0.3">
      <c r="B125" s="86" t="s">
        <v>59</v>
      </c>
      <c r="C125" s="205">
        <f>+C123+C93+C56+C79</f>
        <v>281516.31</v>
      </c>
      <c r="D125" s="205">
        <f>+D123+D93+D56+D79</f>
        <v>280950</v>
      </c>
      <c r="E125" s="207">
        <f>+E123+E93+E56+E79</f>
        <v>300806.09600000002</v>
      </c>
      <c r="F125" s="50"/>
    </row>
    <row r="126" spans="2:6" ht="20.100000000000001" customHeight="1" thickBot="1" x14ac:dyDescent="0.3">
      <c r="B126" s="180"/>
      <c r="C126" s="129"/>
      <c r="D126" s="129"/>
      <c r="E126" s="130"/>
      <c r="F126" s="50"/>
    </row>
    <row r="127" spans="2:6" ht="20.100000000000001" customHeight="1" thickBot="1" x14ac:dyDescent="0.3">
      <c r="B127" s="123"/>
      <c r="C127" s="69"/>
      <c r="D127" s="69"/>
      <c r="E127" s="128"/>
      <c r="F127" s="50"/>
    </row>
    <row r="128" spans="2:6" ht="20.100000000000001" customHeight="1" thickBot="1" x14ac:dyDescent="0.3">
      <c r="B128" s="86" t="s">
        <v>60</v>
      </c>
      <c r="C128" s="129">
        <f>+C27-C125</f>
        <v>0.83000000001629815</v>
      </c>
      <c r="D128" s="129">
        <f>+D27-D125</f>
        <v>0</v>
      </c>
      <c r="E128" s="130">
        <f>+E27-E125</f>
        <v>0</v>
      </c>
    </row>
    <row r="131" spans="3:3" ht="20.100000000000001" customHeight="1" x14ac:dyDescent="0.25"/>
    <row r="132" spans="3:3" ht="20.100000000000001" customHeight="1" x14ac:dyDescent="0.25"/>
    <row r="133" spans="3:3" ht="20.100000000000001" customHeight="1" x14ac:dyDescent="0.25"/>
    <row r="134" spans="3:3" ht="20.100000000000001" customHeight="1" x14ac:dyDescent="0.25"/>
    <row r="135" spans="3:3" ht="20.100000000000001" customHeight="1" x14ac:dyDescent="0.25"/>
    <row r="136" spans="3:3" ht="20.100000000000001" customHeight="1" x14ac:dyDescent="0.25"/>
    <row r="137" spans="3:3" ht="20.100000000000001" customHeight="1" x14ac:dyDescent="0.25"/>
    <row r="138" spans="3:3" ht="20.100000000000001" customHeight="1" x14ac:dyDescent="0.25"/>
    <row r="139" spans="3:3" ht="20.100000000000001" customHeight="1" x14ac:dyDescent="0.25"/>
    <row r="140" spans="3:3" ht="20.100000000000001" customHeight="1" x14ac:dyDescent="0.25"/>
    <row r="141" spans="3:3" ht="20.100000000000001" customHeight="1" x14ac:dyDescent="0.25"/>
    <row r="142" spans="3:3" ht="20.100000000000001" customHeight="1" x14ac:dyDescent="0.25"/>
    <row r="144" spans="3:3" x14ac:dyDescent="0.25">
      <c r="C144" s="155"/>
    </row>
    <row r="145" spans="5:15" ht="15.75" thickBot="1" x14ac:dyDescent="0.3"/>
    <row r="146" spans="5:15" ht="15.75" x14ac:dyDescent="0.25">
      <c r="E146" s="238"/>
      <c r="M146" s="156"/>
      <c r="N146" s="157" t="s">
        <v>101</v>
      </c>
      <c r="O146" s="158"/>
    </row>
    <row r="147" spans="5:15" ht="15.75" x14ac:dyDescent="0.25">
      <c r="E147" s="238"/>
      <c r="M147" s="159"/>
      <c r="N147" s="160" t="s">
        <v>112</v>
      </c>
      <c r="O147" s="164"/>
    </row>
    <row r="148" spans="5:15" ht="15.75" x14ac:dyDescent="0.25">
      <c r="E148" s="239"/>
      <c r="M148" s="241" t="s">
        <v>115</v>
      </c>
      <c r="N148" s="166"/>
      <c r="O148" s="209"/>
    </row>
    <row r="149" spans="5:15" ht="31.5" x14ac:dyDescent="0.25">
      <c r="E149" s="239"/>
      <c r="M149" s="170" t="s">
        <v>119</v>
      </c>
      <c r="N149" s="208">
        <v>336000</v>
      </c>
      <c r="O149" s="167"/>
    </row>
    <row r="150" spans="5:15" ht="15.75" x14ac:dyDescent="0.25">
      <c r="E150" s="239"/>
      <c r="M150" s="221" t="s">
        <v>120</v>
      </c>
      <c r="N150" s="166">
        <v>58000</v>
      </c>
      <c r="O150" s="167"/>
    </row>
    <row r="151" spans="5:15" ht="15.75" x14ac:dyDescent="0.25">
      <c r="E151" s="239"/>
      <c r="M151" s="165"/>
      <c r="N151" s="166"/>
      <c r="O151" s="167"/>
    </row>
    <row r="152" spans="5:15" ht="15.75" x14ac:dyDescent="0.25">
      <c r="E152" s="240"/>
      <c r="M152" s="170" t="s">
        <v>121</v>
      </c>
      <c r="N152" s="222">
        <f>+N149/N150</f>
        <v>5.7931034482758621</v>
      </c>
      <c r="O152" s="209"/>
    </row>
    <row r="153" spans="5:15" ht="16.5" thickBot="1" x14ac:dyDescent="0.3">
      <c r="E153" s="64"/>
      <c r="M153" s="171"/>
      <c r="N153" s="174"/>
      <c r="O153" s="17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Compensation</vt:lpstr>
      <vt:lpstr>Budget</vt:lpstr>
      <vt:lpstr>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Kalstein</dc:creator>
  <cp:lastModifiedBy>Joyce Kalstein</cp:lastModifiedBy>
  <dcterms:created xsi:type="dcterms:W3CDTF">2023-08-21T23:34:29Z</dcterms:created>
  <dcterms:modified xsi:type="dcterms:W3CDTF">2024-08-14T00:30:32Z</dcterms:modified>
</cp:coreProperties>
</file>