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3\2023.05.22 Apr operations w Apr investment May BD meeting\"/>
    </mc:Choice>
  </mc:AlternateContent>
  <xr:revisionPtr revIDLastSave="0" documentId="13_ncr:1_{074088F6-A87E-4C54-AC80-8C7FEFA059CB}" xr6:coauthVersionLast="47" xr6:coauthVersionMax="47" xr10:uidLastSave="{00000000-0000-0000-0000-000000000000}"/>
  <bookViews>
    <workbookView xWindow="20370" yWindow="-2130" windowWidth="21840" windowHeight="13140" firstSheet="3" activeTab="4" xr2:uid="{00000000-000D-0000-FFFF-FFFF00000000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SUMMARY" sheetId="11" r:id="rId5"/>
    <sheet name="A P Aging Summary" sheetId="4" r:id="rId6"/>
    <sheet name="AR Aging" sheetId="9" r:id="rId7"/>
  </sheets>
  <externalReferences>
    <externalReference r:id="rId8"/>
    <externalReference r:id="rId9"/>
  </externalReferences>
  <definedNames>
    <definedName name="_xlnm.Print_Area" localSheetId="3">'Budget vs. Actuals'!#REF!</definedName>
    <definedName name="_xlnm.Print_Area" localSheetId="4">SUMMARY!$B$5:$AF$32</definedName>
    <definedName name="_xlnm.Print_Titles" localSheetId="3">'Budget vs. Actuals'!$A:$E,'Budget vs. Actuals'!$4:$6</definedName>
  </definedNames>
  <calcPr calcId="191029"/>
  <pivotCaches>
    <pivotCache cacheId="15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8" i="11" l="1"/>
  <c r="AG41" i="11"/>
  <c r="AL27" i="11"/>
  <c r="AM27" i="11" s="1"/>
  <c r="AR27" i="11"/>
  <c r="AR28" i="11"/>
  <c r="AL28" i="11"/>
  <c r="AM28" i="11" s="1"/>
  <c r="AL29" i="11"/>
  <c r="AM29" i="11" s="1"/>
  <c r="K9" i="11"/>
  <c r="L9" i="11" s="1"/>
  <c r="P9" i="11"/>
  <c r="I54" i="6"/>
  <c r="I55" i="6"/>
  <c r="AR30" i="11" l="1"/>
  <c r="AR32" i="11"/>
  <c r="AR33" i="11" s="1"/>
  <c r="AM30" i="11"/>
  <c r="AE24" i="11"/>
  <c r="AE23" i="11"/>
  <c r="AD23" i="11"/>
  <c r="AE22" i="11"/>
  <c r="AD22" i="11"/>
  <c r="X242" i="11" l="1"/>
  <c r="U237" i="11"/>
  <c r="J237" i="11"/>
  <c r="K237" i="11" s="1"/>
  <c r="L237" i="11" s="1"/>
  <c r="AE236" i="11"/>
  <c r="AD236" i="11"/>
  <c r="Z236" i="11"/>
  <c r="Y236" i="11"/>
  <c r="T236" i="11"/>
  <c r="S236" i="11"/>
  <c r="R236" i="11"/>
  <c r="O236" i="11"/>
  <c r="N236" i="11"/>
  <c r="M236" i="11"/>
  <c r="J236" i="11"/>
  <c r="I236" i="11"/>
  <c r="H236" i="11"/>
  <c r="G236" i="11"/>
  <c r="F236" i="11"/>
  <c r="E236" i="11"/>
  <c r="D236" i="11"/>
  <c r="AF235" i="11"/>
  <c r="AA235" i="11"/>
  <c r="U235" i="11"/>
  <c r="V235" i="11" s="1"/>
  <c r="P235" i="11"/>
  <c r="Q235" i="11" s="1"/>
  <c r="AF234" i="11"/>
  <c r="AA234" i="11"/>
  <c r="U234" i="11"/>
  <c r="P234" i="11"/>
  <c r="K234" i="11"/>
  <c r="C234" i="11"/>
  <c r="AF233" i="11"/>
  <c r="AA233" i="11"/>
  <c r="U233" i="11"/>
  <c r="P233" i="11"/>
  <c r="K233" i="11"/>
  <c r="C233" i="11"/>
  <c r="AF232" i="11"/>
  <c r="AA232" i="11"/>
  <c r="U232" i="11"/>
  <c r="P232" i="11"/>
  <c r="K232" i="11"/>
  <c r="C232" i="11"/>
  <c r="AE231" i="11"/>
  <c r="AE27" i="11" s="1"/>
  <c r="AD231" i="11"/>
  <c r="AD27" i="11" s="1"/>
  <c r="Z231" i="11"/>
  <c r="Y231" i="11"/>
  <c r="T231" i="11"/>
  <c r="S231" i="11"/>
  <c r="S27" i="11" s="1"/>
  <c r="R231" i="11"/>
  <c r="O231" i="11"/>
  <c r="O27" i="11" s="1"/>
  <c r="N231" i="11"/>
  <c r="M231" i="11"/>
  <c r="G231" i="11"/>
  <c r="G27" i="11" s="1"/>
  <c r="F231" i="11"/>
  <c r="F27" i="11" s="1"/>
  <c r="E231" i="11"/>
  <c r="E27" i="11" s="1"/>
  <c r="D231" i="11"/>
  <c r="D27" i="11" s="1"/>
  <c r="AF230" i="11"/>
  <c r="AA230" i="11"/>
  <c r="U230" i="11"/>
  <c r="P230" i="11"/>
  <c r="I230" i="11"/>
  <c r="K230" i="11" s="1"/>
  <c r="C230" i="11"/>
  <c r="AF229" i="11"/>
  <c r="AA229" i="11"/>
  <c r="U229" i="11"/>
  <c r="P229" i="11"/>
  <c r="Q229" i="11" s="1"/>
  <c r="I229" i="11"/>
  <c r="K229" i="11" s="1"/>
  <c r="L229" i="11" s="1"/>
  <c r="AF228" i="11"/>
  <c r="AA228" i="11"/>
  <c r="U228" i="11"/>
  <c r="P228" i="11"/>
  <c r="I228" i="11"/>
  <c r="H228" i="11"/>
  <c r="C228" i="11"/>
  <c r="AF227" i="11"/>
  <c r="AA227" i="11"/>
  <c r="U227" i="11"/>
  <c r="P227" i="11"/>
  <c r="I227" i="11"/>
  <c r="K227" i="11" s="1"/>
  <c r="C227" i="11"/>
  <c r="AF226" i="11"/>
  <c r="AA226" i="11"/>
  <c r="U226" i="11"/>
  <c r="P226" i="11"/>
  <c r="J226" i="11"/>
  <c r="J231" i="11" s="1"/>
  <c r="J27" i="11" s="1"/>
  <c r="C226" i="11"/>
  <c r="AF225" i="11"/>
  <c r="AA225" i="11"/>
  <c r="U225" i="11"/>
  <c r="P225" i="11"/>
  <c r="I225" i="11"/>
  <c r="H225" i="11"/>
  <c r="C225" i="11"/>
  <c r="AF224" i="11"/>
  <c r="AA224" i="11"/>
  <c r="I224" i="11"/>
  <c r="AE223" i="11"/>
  <c r="AD223" i="11"/>
  <c r="Z223" i="11"/>
  <c r="Y223" i="11"/>
  <c r="T223" i="11"/>
  <c r="S223" i="11"/>
  <c r="R223" i="11"/>
  <c r="O223" i="11"/>
  <c r="N223" i="11"/>
  <c r="M223" i="11"/>
  <c r="H223" i="11"/>
  <c r="G223" i="11"/>
  <c r="F223" i="11"/>
  <c r="E223" i="11"/>
  <c r="D223" i="11"/>
  <c r="AF222" i="11"/>
  <c r="AF223" i="11" s="1"/>
  <c r="AA222" i="11"/>
  <c r="U222" i="11"/>
  <c r="I222" i="11"/>
  <c r="K222" i="11" s="1"/>
  <c r="C222" i="11"/>
  <c r="C223" i="11" s="1"/>
  <c r="AA221" i="11"/>
  <c r="U221" i="11"/>
  <c r="Q221" i="11"/>
  <c r="J221" i="11"/>
  <c r="AA220" i="11"/>
  <c r="U220" i="11"/>
  <c r="P220" i="11"/>
  <c r="P223" i="11" s="1"/>
  <c r="K220" i="11"/>
  <c r="L220" i="11" s="1"/>
  <c r="AE219" i="11"/>
  <c r="AE26" i="11" s="1"/>
  <c r="Z219" i="11"/>
  <c r="Y219" i="11"/>
  <c r="T219" i="11"/>
  <c r="T26" i="11" s="1"/>
  <c r="S219" i="11"/>
  <c r="R219" i="11"/>
  <c r="O219" i="11"/>
  <c r="O26" i="11" s="1"/>
  <c r="N219" i="11"/>
  <c r="N26" i="11" s="1"/>
  <c r="M219" i="11"/>
  <c r="J219" i="11"/>
  <c r="J26" i="11" s="1"/>
  <c r="H219" i="11"/>
  <c r="H26" i="11" s="1"/>
  <c r="G219" i="11"/>
  <c r="G26" i="11" s="1"/>
  <c r="F219" i="11"/>
  <c r="E219" i="11"/>
  <c r="E26" i="11" s="1"/>
  <c r="D219" i="11"/>
  <c r="AF218" i="11"/>
  <c r="AA218" i="11"/>
  <c r="AB218" i="11" s="1"/>
  <c r="AF217" i="11"/>
  <c r="AA217" i="11"/>
  <c r="U217" i="11"/>
  <c r="Q217" i="11"/>
  <c r="I217" i="11"/>
  <c r="K217" i="11" s="1"/>
  <c r="L217" i="11" s="1"/>
  <c r="AD216" i="11"/>
  <c r="AD219" i="11" s="1"/>
  <c r="AD26" i="11" s="1"/>
  <c r="AA216" i="11"/>
  <c r="U216" i="11"/>
  <c r="P216" i="11"/>
  <c r="P219" i="11" s="1"/>
  <c r="I216" i="11"/>
  <c r="C216" i="11"/>
  <c r="C219" i="11" s="1"/>
  <c r="C26" i="11" s="1"/>
  <c r="K215" i="11"/>
  <c r="L215" i="11" s="1"/>
  <c r="J214" i="11"/>
  <c r="J25" i="11" s="1"/>
  <c r="H214" i="11"/>
  <c r="H25" i="11" s="1"/>
  <c r="G214" i="11"/>
  <c r="F214" i="11"/>
  <c r="E214" i="11"/>
  <c r="D214" i="11"/>
  <c r="D25" i="11" s="1"/>
  <c r="Z213" i="11"/>
  <c r="Z214" i="11" s="1"/>
  <c r="Y213" i="11"/>
  <c r="T213" i="11"/>
  <c r="T214" i="11" s="1"/>
  <c r="T25" i="11" s="1"/>
  <c r="S213" i="11"/>
  <c r="S214" i="11" s="1"/>
  <c r="R213" i="11"/>
  <c r="R214" i="11" s="1"/>
  <c r="O213" i="11"/>
  <c r="O214" i="11" s="1"/>
  <c r="O25" i="11" s="1"/>
  <c r="N213" i="11"/>
  <c r="M213" i="11"/>
  <c r="M214" i="11" s="1"/>
  <c r="I213" i="11"/>
  <c r="K213" i="11" s="1"/>
  <c r="C213" i="11"/>
  <c r="AF212" i="11"/>
  <c r="AA212" i="11"/>
  <c r="U212" i="11"/>
  <c r="P212" i="11"/>
  <c r="Q212" i="11" s="1"/>
  <c r="I212" i="11"/>
  <c r="K212" i="11" s="1"/>
  <c r="L212" i="11" s="1"/>
  <c r="AE211" i="11"/>
  <c r="AD211" i="11"/>
  <c r="AA211" i="11"/>
  <c r="U211" i="11"/>
  <c r="P211" i="11"/>
  <c r="I211" i="11"/>
  <c r="C211" i="11"/>
  <c r="AF210" i="11"/>
  <c r="AA210" i="11"/>
  <c r="U210" i="11"/>
  <c r="P210" i="11"/>
  <c r="K210" i="11"/>
  <c r="C210" i="11"/>
  <c r="AF209" i="11"/>
  <c r="AA209" i="11"/>
  <c r="U209" i="11"/>
  <c r="P209" i="11"/>
  <c r="Q209" i="11" s="1"/>
  <c r="K209" i="11"/>
  <c r="L209" i="11" s="1"/>
  <c r="AF208" i="11"/>
  <c r="AA208" i="11"/>
  <c r="AB208" i="11" s="1"/>
  <c r="U208" i="11"/>
  <c r="P208" i="11"/>
  <c r="AD207" i="11"/>
  <c r="AF207" i="11" s="1"/>
  <c r="AA207" i="11"/>
  <c r="U207" i="11"/>
  <c r="P207" i="11"/>
  <c r="K207" i="11"/>
  <c r="C207" i="11"/>
  <c r="L207" i="11" s="1"/>
  <c r="AF206" i="11"/>
  <c r="AA206" i="11"/>
  <c r="U206" i="11"/>
  <c r="V206" i="11" s="1"/>
  <c r="P206" i="11"/>
  <c r="Q206" i="11" s="1"/>
  <c r="AD205" i="11"/>
  <c r="AA205" i="11"/>
  <c r="AA24" i="11" s="1"/>
  <c r="U205" i="11"/>
  <c r="P205" i="11"/>
  <c r="J205" i="11"/>
  <c r="J24" i="11" s="1"/>
  <c r="C205" i="11"/>
  <c r="AF204" i="11"/>
  <c r="AA204" i="11"/>
  <c r="U204" i="11"/>
  <c r="P204" i="11"/>
  <c r="H204" i="11"/>
  <c r="K204" i="11" s="1"/>
  <c r="C204" i="11"/>
  <c r="AF203" i="11"/>
  <c r="AA203" i="11"/>
  <c r="U203" i="11"/>
  <c r="P203" i="11"/>
  <c r="Q203" i="11" s="1"/>
  <c r="I203" i="11"/>
  <c r="K203" i="11" s="1"/>
  <c r="L203" i="11" s="1"/>
  <c r="AF202" i="11"/>
  <c r="AA202" i="11"/>
  <c r="AB202" i="11" s="1"/>
  <c r="U202" i="11"/>
  <c r="P202" i="11"/>
  <c r="AD201" i="11"/>
  <c r="AA201" i="11"/>
  <c r="U201" i="11"/>
  <c r="P201" i="11"/>
  <c r="K201" i="11"/>
  <c r="C201" i="11"/>
  <c r="AF200" i="11"/>
  <c r="AA200" i="11"/>
  <c r="U200" i="11"/>
  <c r="P200" i="11"/>
  <c r="Q200" i="11" s="1"/>
  <c r="I200" i="11"/>
  <c r="K200" i="11" s="1"/>
  <c r="L200" i="11" s="1"/>
  <c r="AF199" i="11"/>
  <c r="AA199" i="11"/>
  <c r="U199" i="11"/>
  <c r="P199" i="11"/>
  <c r="Q199" i="11" s="1"/>
  <c r="I199" i="11"/>
  <c r="AF198" i="11"/>
  <c r="AF23" i="11" s="1"/>
  <c r="U198" i="11"/>
  <c r="P198" i="11"/>
  <c r="AF197" i="11"/>
  <c r="AA197" i="11"/>
  <c r="U197" i="11"/>
  <c r="V197" i="11" s="1"/>
  <c r="O197" i="11"/>
  <c r="P197" i="11" s="1"/>
  <c r="Q197" i="11" s="1"/>
  <c r="AE196" i="11"/>
  <c r="AE28" i="11" s="1"/>
  <c r="AA196" i="11"/>
  <c r="U196" i="11"/>
  <c r="P196" i="11"/>
  <c r="K196" i="11"/>
  <c r="C196" i="11"/>
  <c r="Z28" i="11"/>
  <c r="Y28" i="11"/>
  <c r="T28" i="11"/>
  <c r="S28" i="11"/>
  <c r="O28" i="11"/>
  <c r="N28" i="11"/>
  <c r="N27" i="11"/>
  <c r="S26" i="11"/>
  <c r="F26" i="11"/>
  <c r="D26" i="11"/>
  <c r="S25" i="11"/>
  <c r="Z24" i="11"/>
  <c r="Y24" i="11"/>
  <c r="T24" i="11"/>
  <c r="S24" i="11"/>
  <c r="O24" i="11"/>
  <c r="N24" i="11"/>
  <c r="I24" i="11"/>
  <c r="H24" i="11"/>
  <c r="G24" i="11"/>
  <c r="F24" i="11"/>
  <c r="E24" i="11"/>
  <c r="D24" i="11"/>
  <c r="AB23" i="11"/>
  <c r="V23" i="11"/>
  <c r="P23" i="11"/>
  <c r="L23" i="11"/>
  <c r="T22" i="11"/>
  <c r="S22" i="11"/>
  <c r="N22" i="11"/>
  <c r="K22" i="11"/>
  <c r="J22" i="11"/>
  <c r="I22" i="11"/>
  <c r="H22" i="11"/>
  <c r="G22" i="11"/>
  <c r="F22" i="11"/>
  <c r="E22" i="11"/>
  <c r="D22" i="11"/>
  <c r="C22" i="11"/>
  <c r="U17" i="11"/>
  <c r="W17" i="11" s="1"/>
  <c r="G17" i="11"/>
  <c r="K17" i="11" s="1"/>
  <c r="L17" i="11" s="1"/>
  <c r="AF14" i="11"/>
  <c r="AA14" i="11"/>
  <c r="P14" i="11"/>
  <c r="W14" i="11" s="1"/>
  <c r="K14" i="11"/>
  <c r="C14" i="11"/>
  <c r="AE13" i="11"/>
  <c r="AE16" i="11" s="1"/>
  <c r="AE18" i="11" s="1"/>
  <c r="AE19" i="11" s="1"/>
  <c r="AD13" i="11"/>
  <c r="AD16" i="11" s="1"/>
  <c r="AD18" i="11" s="1"/>
  <c r="AD19" i="11" s="1"/>
  <c r="Z13" i="11"/>
  <c r="Z16" i="11" s="1"/>
  <c r="Z18" i="11" s="1"/>
  <c r="Z19" i="11" s="1"/>
  <c r="Y13" i="11"/>
  <c r="Y16" i="11" s="1"/>
  <c r="Y18" i="11" s="1"/>
  <c r="Y19" i="11" s="1"/>
  <c r="T13" i="11"/>
  <c r="T16" i="11" s="1"/>
  <c r="S13" i="11"/>
  <c r="S16" i="11" s="1"/>
  <c r="R13" i="11"/>
  <c r="R16" i="11" s="1"/>
  <c r="Q13" i="11"/>
  <c r="P13" i="11"/>
  <c r="O13" i="11"/>
  <c r="N13" i="11"/>
  <c r="M13" i="11"/>
  <c r="K13" i="11"/>
  <c r="J13" i="11"/>
  <c r="J16" i="11" s="1"/>
  <c r="J18" i="11" s="1"/>
  <c r="J19" i="11" s="1"/>
  <c r="I13" i="11"/>
  <c r="I16" i="11" s="1"/>
  <c r="I18" i="11" s="1"/>
  <c r="I19" i="11" s="1"/>
  <c r="H13" i="11"/>
  <c r="F13" i="11"/>
  <c r="F16" i="11" s="1"/>
  <c r="F18" i="11" s="1"/>
  <c r="F19" i="11" s="1"/>
  <c r="E13" i="11"/>
  <c r="E16" i="11" s="1"/>
  <c r="E18" i="11" s="1"/>
  <c r="E19" i="11" s="1"/>
  <c r="D13" i="11"/>
  <c r="D16" i="11" s="1"/>
  <c r="D18" i="11" s="1"/>
  <c r="D19" i="11" s="1"/>
  <c r="C13" i="11"/>
  <c r="AF12" i="11"/>
  <c r="AF13" i="11" s="1"/>
  <c r="AA12" i="11"/>
  <c r="U12" i="11"/>
  <c r="L12" i="11"/>
  <c r="G12" i="11"/>
  <c r="G13" i="11" s="1"/>
  <c r="AA11" i="11"/>
  <c r="U11" i="11"/>
  <c r="W11" i="11" s="1"/>
  <c r="K11" i="11"/>
  <c r="L11" i="11" s="1"/>
  <c r="AF10" i="11"/>
  <c r="AA10" i="11"/>
  <c r="U10" i="11"/>
  <c r="P10" i="11"/>
  <c r="P16" i="11" s="1"/>
  <c r="H10" i="11"/>
  <c r="G10" i="11"/>
  <c r="O16" i="11" l="1"/>
  <c r="O18" i="11" s="1"/>
  <c r="O19" i="11" s="1"/>
  <c r="L233" i="11"/>
  <c r="Q16" i="11"/>
  <c r="M16" i="11"/>
  <c r="M18" i="11" s="1"/>
  <c r="M19" i="11" s="1"/>
  <c r="N16" i="11"/>
  <c r="N18" i="11" s="1"/>
  <c r="N19" i="11" s="1"/>
  <c r="W10" i="11"/>
  <c r="V12" i="11"/>
  <c r="X12" i="11" s="1"/>
  <c r="AB12" i="11" s="1"/>
  <c r="AB13" i="11" s="1"/>
  <c r="W12" i="11"/>
  <c r="W13" i="11" s="1"/>
  <c r="Q23" i="11"/>
  <c r="W23" i="11"/>
  <c r="P26" i="11"/>
  <c r="Q26" i="11" s="1"/>
  <c r="K226" i="11"/>
  <c r="L226" i="11" s="1"/>
  <c r="L201" i="11"/>
  <c r="AA223" i="11"/>
  <c r="U25" i="11"/>
  <c r="K228" i="11"/>
  <c r="V228" i="11" s="1"/>
  <c r="K236" i="11"/>
  <c r="I214" i="11"/>
  <c r="I25" i="11" s="1"/>
  <c r="K10" i="11"/>
  <c r="L10" i="11" s="1"/>
  <c r="L22" i="11"/>
  <c r="L213" i="11"/>
  <c r="AF216" i="11"/>
  <c r="AF219" i="11" s="1"/>
  <c r="Q230" i="11"/>
  <c r="L234" i="11"/>
  <c r="Q220" i="11"/>
  <c r="P231" i="11"/>
  <c r="V234" i="11"/>
  <c r="U28" i="11"/>
  <c r="Q211" i="11"/>
  <c r="E238" i="11"/>
  <c r="E239" i="11" s="1"/>
  <c r="L204" i="11"/>
  <c r="G238" i="11"/>
  <c r="P28" i="11"/>
  <c r="K205" i="11"/>
  <c r="K24" i="11" s="1"/>
  <c r="F238" i="11"/>
  <c r="F239" i="11" s="1"/>
  <c r="C214" i="11"/>
  <c r="C25" i="11" s="1"/>
  <c r="Q201" i="11"/>
  <c r="D29" i="11"/>
  <c r="D31" i="11" s="1"/>
  <c r="V233" i="11"/>
  <c r="H16" i="11"/>
  <c r="H18" i="11" s="1"/>
  <c r="H19" i="11" s="1"/>
  <c r="V201" i="11"/>
  <c r="L227" i="11"/>
  <c r="Q228" i="11"/>
  <c r="X197" i="11"/>
  <c r="Q207" i="11"/>
  <c r="V210" i="11"/>
  <c r="AA213" i="11"/>
  <c r="AA214" i="11" s="1"/>
  <c r="X235" i="11"/>
  <c r="AB235" i="11" s="1"/>
  <c r="Q233" i="11"/>
  <c r="P27" i="11"/>
  <c r="Q196" i="11"/>
  <c r="Q222" i="11"/>
  <c r="Q226" i="11"/>
  <c r="V203" i="11"/>
  <c r="X203" i="11" s="1"/>
  <c r="AB203" i="11" s="1"/>
  <c r="AF196" i="11"/>
  <c r="U231" i="11"/>
  <c r="Z29" i="11"/>
  <c r="Z31" i="11" s="1"/>
  <c r="L230" i="11"/>
  <c r="L14" i="11"/>
  <c r="P24" i="11"/>
  <c r="E25" i="11"/>
  <c r="E29" i="11" s="1"/>
  <c r="E31" i="11" s="1"/>
  <c r="X206" i="11"/>
  <c r="AB206" i="11" s="1"/>
  <c r="Q210" i="11"/>
  <c r="K211" i="11"/>
  <c r="V211" i="11" s="1"/>
  <c r="L228" i="11"/>
  <c r="P236" i="11"/>
  <c r="O22" i="11"/>
  <c r="O29" i="11" s="1"/>
  <c r="AF211" i="11"/>
  <c r="AF205" i="11"/>
  <c r="AD24" i="11"/>
  <c r="C16" i="11"/>
  <c r="U24" i="11"/>
  <c r="G25" i="11"/>
  <c r="G29" i="11" s="1"/>
  <c r="AF201" i="11"/>
  <c r="AD28" i="11"/>
  <c r="Q14" i="11"/>
  <c r="F25" i="11"/>
  <c r="F29" i="11" s="1"/>
  <c r="F31" i="11" s="1"/>
  <c r="Q204" i="11"/>
  <c r="AD213" i="11"/>
  <c r="AD214" i="11" s="1"/>
  <c r="AA219" i="11"/>
  <c r="H231" i="11"/>
  <c r="H27" i="11" s="1"/>
  <c r="H29" i="11" s="1"/>
  <c r="M238" i="11"/>
  <c r="S29" i="11"/>
  <c r="L210" i="11"/>
  <c r="Q216" i="11"/>
  <c r="Q219" i="11" s="1"/>
  <c r="Y29" i="11"/>
  <c r="Y31" i="11" s="1"/>
  <c r="Y214" i="11"/>
  <c r="Y238" i="11" s="1"/>
  <c r="Y239" i="11" s="1"/>
  <c r="U223" i="11"/>
  <c r="K225" i="11"/>
  <c r="V225" i="11" s="1"/>
  <c r="Q227" i="11"/>
  <c r="L232" i="11"/>
  <c r="Q234" i="11"/>
  <c r="AA13" i="11"/>
  <c r="AA16" i="11" s="1"/>
  <c r="V17" i="11"/>
  <c r="X17" i="11" s="1"/>
  <c r="AB17" i="11" s="1"/>
  <c r="AF16" i="11"/>
  <c r="AF18" i="11" s="1"/>
  <c r="AF19" i="11" s="1"/>
  <c r="G16" i="11"/>
  <c r="G18" i="11" s="1"/>
  <c r="G19" i="11" s="1"/>
  <c r="V14" i="11"/>
  <c r="V11" i="11"/>
  <c r="AB197" i="11"/>
  <c r="X22" i="11"/>
  <c r="L13" i="11"/>
  <c r="V200" i="11"/>
  <c r="X200" i="11" s="1"/>
  <c r="AB200" i="11" s="1"/>
  <c r="V222" i="11"/>
  <c r="L222" i="11"/>
  <c r="V230" i="11"/>
  <c r="AF236" i="11"/>
  <c r="S238" i="11"/>
  <c r="V237" i="11"/>
  <c r="X237" i="11" s="1"/>
  <c r="AB237" i="11" s="1"/>
  <c r="P18" i="11"/>
  <c r="P19" i="11" s="1"/>
  <c r="U13" i="11"/>
  <c r="U16" i="11" s="1"/>
  <c r="V204" i="11"/>
  <c r="V207" i="11"/>
  <c r="V212" i="11"/>
  <c r="X212" i="11" s="1"/>
  <c r="AB212" i="11" s="1"/>
  <c r="N214" i="11"/>
  <c r="N25" i="11" s="1"/>
  <c r="P25" i="11" s="1"/>
  <c r="P213" i="11"/>
  <c r="Q213" i="11" s="1"/>
  <c r="K216" i="11"/>
  <c r="V216" i="11" s="1"/>
  <c r="I219" i="11"/>
  <c r="I26" i="11" s="1"/>
  <c r="J223" i="11"/>
  <c r="J238" i="11" s="1"/>
  <c r="J239" i="11" s="1"/>
  <c r="K221" i="11"/>
  <c r="I231" i="11"/>
  <c r="I27" i="11" s="1"/>
  <c r="K224" i="11"/>
  <c r="V229" i="11"/>
  <c r="X229" i="11" s="1"/>
  <c r="AB229" i="11" s="1"/>
  <c r="D238" i="11"/>
  <c r="D239" i="11" s="1"/>
  <c r="J29" i="11"/>
  <c r="J31" i="11" s="1"/>
  <c r="U22" i="11"/>
  <c r="V227" i="11"/>
  <c r="V196" i="11"/>
  <c r="AA231" i="11"/>
  <c r="AA28" i="11"/>
  <c r="K199" i="11"/>
  <c r="L199" i="11" s="1"/>
  <c r="U219" i="11"/>
  <c r="V217" i="11"/>
  <c r="X217" i="11" s="1"/>
  <c r="AB217" i="11" s="1"/>
  <c r="I223" i="11"/>
  <c r="AF231" i="11"/>
  <c r="R238" i="11"/>
  <c r="Z238" i="11"/>
  <c r="Z239" i="11" s="1"/>
  <c r="Q205" i="11"/>
  <c r="C24" i="11"/>
  <c r="V209" i="11"/>
  <c r="C231" i="11"/>
  <c r="U26" i="11"/>
  <c r="L196" i="11"/>
  <c r="C28" i="11"/>
  <c r="T27" i="11"/>
  <c r="T29" i="11" s="1"/>
  <c r="T238" i="11"/>
  <c r="V232" i="11"/>
  <c r="U236" i="11"/>
  <c r="O238" i="11"/>
  <c r="U213" i="11"/>
  <c r="V213" i="11" s="1"/>
  <c r="AE213" i="11"/>
  <c r="Q232" i="11"/>
  <c r="V220" i="11"/>
  <c r="AA236" i="11"/>
  <c r="Q225" i="11"/>
  <c r="C236" i="11"/>
  <c r="O31" i="11" l="1"/>
  <c r="M239" i="11"/>
  <c r="C18" i="11"/>
  <c r="C19" i="11" s="1"/>
  <c r="AF28" i="11"/>
  <c r="W16" i="11"/>
  <c r="AA18" i="11"/>
  <c r="AA19" i="11" s="1"/>
  <c r="O239" i="11"/>
  <c r="V226" i="11"/>
  <c r="X226" i="11" s="1"/>
  <c r="AB226" i="11" s="1"/>
  <c r="V13" i="11"/>
  <c r="X211" i="11"/>
  <c r="AB211" i="11" s="1"/>
  <c r="Q223" i="11"/>
  <c r="X228" i="11"/>
  <c r="AB228" i="11" s="1"/>
  <c r="W24" i="11"/>
  <c r="W26" i="11"/>
  <c r="L205" i="11"/>
  <c r="X233" i="11"/>
  <c r="AB233" i="11" s="1"/>
  <c r="W25" i="11"/>
  <c r="W28" i="11"/>
  <c r="X230" i="11"/>
  <c r="AB230" i="11" s="1"/>
  <c r="V205" i="11"/>
  <c r="X205" i="11" s="1"/>
  <c r="V24" i="11"/>
  <c r="X207" i="11"/>
  <c r="AB207" i="11" s="1"/>
  <c r="X227" i="11"/>
  <c r="AB227" i="11" s="1"/>
  <c r="X222" i="11"/>
  <c r="AB222" i="11" s="1"/>
  <c r="X14" i="11"/>
  <c r="AB14" i="11" s="1"/>
  <c r="K16" i="11"/>
  <c r="K18" i="11" s="1"/>
  <c r="K19" i="11" s="1"/>
  <c r="V10" i="11"/>
  <c r="G239" i="11"/>
  <c r="X234" i="11"/>
  <c r="AB234" i="11" s="1"/>
  <c r="L236" i="11"/>
  <c r="N238" i="11"/>
  <c r="N239" i="11" s="1"/>
  <c r="X204" i="11"/>
  <c r="AB204" i="11" s="1"/>
  <c r="H31" i="11"/>
  <c r="P22" i="11"/>
  <c r="P29" i="11" s="1"/>
  <c r="P31" i="11" s="1"/>
  <c r="X201" i="11"/>
  <c r="AB201" i="11" s="1"/>
  <c r="Q236" i="11"/>
  <c r="Q25" i="11"/>
  <c r="AF213" i="11"/>
  <c r="AF214" i="11" s="1"/>
  <c r="AF25" i="11" s="1"/>
  <c r="AF29" i="11" s="1"/>
  <c r="AF31" i="11" s="1"/>
  <c r="L225" i="11"/>
  <c r="K214" i="11"/>
  <c r="K25" i="11" s="1"/>
  <c r="L25" i="11" s="1"/>
  <c r="Q231" i="11"/>
  <c r="X210" i="11"/>
  <c r="AB210" i="11" s="1"/>
  <c r="I238" i="11"/>
  <c r="I239" i="11" s="1"/>
  <c r="X196" i="11"/>
  <c r="AB196" i="11" s="1"/>
  <c r="AD25" i="11"/>
  <c r="AD29" i="11" s="1"/>
  <c r="AD31" i="11" s="1"/>
  <c r="AD238" i="11"/>
  <c r="AD239" i="11" s="1"/>
  <c r="L211" i="11"/>
  <c r="L214" i="11" s="1"/>
  <c r="AA238" i="11"/>
  <c r="K231" i="11"/>
  <c r="K27" i="11" s="1"/>
  <c r="H238" i="11"/>
  <c r="H239" i="11" s="1"/>
  <c r="AE214" i="11"/>
  <c r="I29" i="11"/>
  <c r="I31" i="11" s="1"/>
  <c r="Q214" i="11"/>
  <c r="K223" i="11"/>
  <c r="L223" i="11" s="1"/>
  <c r="U214" i="11"/>
  <c r="U238" i="11" s="1"/>
  <c r="G31" i="11"/>
  <c r="X11" i="11"/>
  <c r="X13" i="11" s="1"/>
  <c r="V214" i="11"/>
  <c r="X209" i="11"/>
  <c r="P214" i="11"/>
  <c r="P238" i="11" s="1"/>
  <c r="P239" i="11" s="1"/>
  <c r="V199" i="11"/>
  <c r="X199" i="11" s="1"/>
  <c r="AB199" i="11" s="1"/>
  <c r="C238" i="11"/>
  <c r="C239" i="11" s="1"/>
  <c r="C27" i="11"/>
  <c r="Q24" i="11"/>
  <c r="L24" i="11"/>
  <c r="U27" i="11"/>
  <c r="W27" i="11" s="1"/>
  <c r="K219" i="11"/>
  <c r="Q28" i="11"/>
  <c r="AA29" i="11"/>
  <c r="V224" i="11"/>
  <c r="L224" i="11"/>
  <c r="L216" i="11"/>
  <c r="N29" i="11"/>
  <c r="N31" i="11" s="1"/>
  <c r="V22" i="11"/>
  <c r="V221" i="11"/>
  <c r="X221" i="11" s="1"/>
  <c r="AB221" i="11" s="1"/>
  <c r="L221" i="11"/>
  <c r="X220" i="11"/>
  <c r="AB22" i="11"/>
  <c r="X213" i="11"/>
  <c r="AB213" i="11" s="1"/>
  <c r="X232" i="11"/>
  <c r="V236" i="11"/>
  <c r="X225" i="11"/>
  <c r="AB225" i="11" s="1"/>
  <c r="K28" i="11"/>
  <c r="V28" i="11" s="1"/>
  <c r="V219" i="11"/>
  <c r="X216" i="11"/>
  <c r="X10" i="11" l="1"/>
  <c r="X16" i="11" s="1"/>
  <c r="V16" i="11"/>
  <c r="L16" i="11"/>
  <c r="L18" i="11" s="1"/>
  <c r="L19" i="11" s="1"/>
  <c r="AA31" i="11"/>
  <c r="AA239" i="11"/>
  <c r="Q18" i="11"/>
  <c r="Q19" i="11" s="1"/>
  <c r="AB205" i="11"/>
  <c r="X24" i="11"/>
  <c r="AB24" i="11" s="1"/>
  <c r="W22" i="11"/>
  <c r="W29" i="11" s="1"/>
  <c r="Q22" i="11"/>
  <c r="K238" i="11"/>
  <c r="K239" i="11" s="1"/>
  <c r="Q238" i="11"/>
  <c r="V25" i="11"/>
  <c r="AF238" i="11"/>
  <c r="AF239" i="11" s="1"/>
  <c r="X28" i="11"/>
  <c r="AB28" i="11" s="1"/>
  <c r="V27" i="11"/>
  <c r="L231" i="11"/>
  <c r="AE238" i="11"/>
  <c r="AE239" i="11" s="1"/>
  <c r="AE25" i="11"/>
  <c r="AE29" i="11" s="1"/>
  <c r="AE31" i="11" s="1"/>
  <c r="U29" i="11"/>
  <c r="V231" i="11"/>
  <c r="X224" i="11"/>
  <c r="K26" i="11"/>
  <c r="L219" i="11"/>
  <c r="X219" i="11"/>
  <c r="X26" i="11" s="1"/>
  <c r="AB26" i="11" s="1"/>
  <c r="AB216" i="11"/>
  <c r="AB219" i="11" s="1"/>
  <c r="V223" i="11"/>
  <c r="L28" i="11"/>
  <c r="X214" i="11"/>
  <c r="X25" i="11" s="1"/>
  <c r="AB209" i="11"/>
  <c r="AB214" i="11" s="1"/>
  <c r="Q27" i="11"/>
  <c r="L27" i="11"/>
  <c r="C29" i="11"/>
  <c r="AB220" i="11"/>
  <c r="AB223" i="11" s="1"/>
  <c r="X223" i="11"/>
  <c r="X236" i="11"/>
  <c r="AB232" i="11"/>
  <c r="AB236" i="11" s="1"/>
  <c r="AB10" i="11"/>
  <c r="AB16" i="11" l="1"/>
  <c r="AB18" i="11" s="1"/>
  <c r="AB19" i="11" s="1"/>
  <c r="R18" i="11"/>
  <c r="R19" i="11" s="1"/>
  <c r="R239" i="11" s="1"/>
  <c r="Q239" i="11"/>
  <c r="Q29" i="11"/>
  <c r="Q31" i="11" s="1"/>
  <c r="Q242" i="11"/>
  <c r="V238" i="11"/>
  <c r="L238" i="11"/>
  <c r="L239" i="11" s="1"/>
  <c r="AB25" i="11"/>
  <c r="L26" i="11"/>
  <c r="V26" i="11"/>
  <c r="V29" i="11" s="1"/>
  <c r="K29" i="11"/>
  <c r="K31" i="11" s="1"/>
  <c r="X231" i="11"/>
  <c r="X27" i="11" s="1"/>
  <c r="AB27" i="11" s="1"/>
  <c r="AB224" i="11"/>
  <c r="AB231" i="11" s="1"/>
  <c r="AB238" i="11" s="1"/>
  <c r="C31" i="11"/>
  <c r="AB239" i="11" l="1"/>
  <c r="S18" i="11"/>
  <c r="S19" i="11" s="1"/>
  <c r="X238" i="11"/>
  <c r="L29" i="11"/>
  <c r="L31" i="11" s="1"/>
  <c r="X29" i="11"/>
  <c r="AB29" i="11"/>
  <c r="AB31" i="11" s="1"/>
  <c r="S31" i="11" l="1"/>
  <c r="S239" i="11"/>
  <c r="T18" i="11"/>
  <c r="T19" i="11" s="1"/>
  <c r="O15" i="6"/>
  <c r="T239" i="11" l="1"/>
  <c r="T31" i="11"/>
  <c r="U18" i="11"/>
  <c r="U19" i="11" s="1"/>
  <c r="U239" i="11" l="1"/>
  <c r="U31" i="11"/>
  <c r="V18" i="11"/>
  <c r="V19" i="11" s="1"/>
  <c r="V239" i="11" l="1"/>
  <c r="V31" i="11"/>
  <c r="W18" i="11"/>
  <c r="W19" i="11" s="1"/>
  <c r="W31" i="11" s="1"/>
  <c r="X18" i="11"/>
  <c r="X19" i="11" s="1"/>
  <c r="U240" i="11"/>
  <c r="T240" i="11"/>
  <c r="U241" i="11"/>
  <c r="X31" i="11" l="1"/>
  <c r="X239" i="11"/>
  <c r="X240" i="11"/>
  <c r="V241" i="11"/>
  <c r="C73" i="2" l="1"/>
  <c r="E73" i="2" s="1"/>
  <c r="E72" i="2"/>
  <c r="B72" i="2"/>
  <c r="B73" i="2" s="1"/>
  <c r="C69" i="2"/>
  <c r="C70" i="2" s="1"/>
  <c r="E68" i="2"/>
  <c r="B68" i="2"/>
  <c r="D68" i="2" s="1"/>
  <c r="E67" i="2"/>
  <c r="B67" i="2"/>
  <c r="D67" i="2" s="1"/>
  <c r="E66" i="2"/>
  <c r="B66" i="2"/>
  <c r="D66" i="2" s="1"/>
  <c r="E65" i="2"/>
  <c r="B65" i="2"/>
  <c r="D65" i="2" s="1"/>
  <c r="E64" i="2"/>
  <c r="D64" i="2"/>
  <c r="E63" i="2"/>
  <c r="B63" i="2"/>
  <c r="E59" i="2"/>
  <c r="B59" i="2"/>
  <c r="D59" i="2" s="1"/>
  <c r="C57" i="2"/>
  <c r="D57" i="2" s="1"/>
  <c r="C56" i="2"/>
  <c r="E56" i="2" s="1"/>
  <c r="C55" i="2"/>
  <c r="B55" i="2"/>
  <c r="D55" i="2" s="1"/>
  <c r="C54" i="2"/>
  <c r="E54" i="2" s="1"/>
  <c r="B54" i="2"/>
  <c r="E53" i="2"/>
  <c r="B53" i="2"/>
  <c r="E51" i="2"/>
  <c r="C51" i="2"/>
  <c r="B51" i="2"/>
  <c r="D51" i="2" s="1"/>
  <c r="E50" i="2"/>
  <c r="C50" i="2"/>
  <c r="B50" i="2"/>
  <c r="C49" i="2"/>
  <c r="E49" i="2" s="1"/>
  <c r="B49" i="2"/>
  <c r="D49" i="2" s="1"/>
  <c r="C48" i="2"/>
  <c r="E48" i="2" s="1"/>
  <c r="B48" i="2"/>
  <c r="D48" i="2" s="1"/>
  <c r="E47" i="2"/>
  <c r="C47" i="2"/>
  <c r="B47" i="2"/>
  <c r="D47" i="2" s="1"/>
  <c r="C46" i="2"/>
  <c r="C52" i="2" s="1"/>
  <c r="B46" i="2"/>
  <c r="E45" i="2"/>
  <c r="D45" i="2"/>
  <c r="B45" i="2"/>
  <c r="C43" i="2"/>
  <c r="C44" i="2" s="1"/>
  <c r="B43" i="2"/>
  <c r="E42" i="2"/>
  <c r="D42" i="2"/>
  <c r="B42" i="2"/>
  <c r="B44" i="2" s="1"/>
  <c r="E41" i="2"/>
  <c r="D41" i="2"/>
  <c r="B40" i="2"/>
  <c r="E39" i="2"/>
  <c r="C39" i="2"/>
  <c r="D39" i="2" s="1"/>
  <c r="E38" i="2"/>
  <c r="D38" i="2"/>
  <c r="C38" i="2"/>
  <c r="B38" i="2"/>
  <c r="C37" i="2"/>
  <c r="D37" i="2" s="1"/>
  <c r="B37" i="2"/>
  <c r="E36" i="2"/>
  <c r="D36" i="2"/>
  <c r="C34" i="2"/>
  <c r="E34" i="2" s="1"/>
  <c r="B34" i="2"/>
  <c r="C33" i="2"/>
  <c r="B33" i="2"/>
  <c r="D33" i="2" s="1"/>
  <c r="C32" i="2"/>
  <c r="E32" i="2" s="1"/>
  <c r="B32" i="2"/>
  <c r="C31" i="2"/>
  <c r="B31" i="2"/>
  <c r="B35" i="2" s="1"/>
  <c r="E30" i="2"/>
  <c r="D30" i="2"/>
  <c r="C29" i="2"/>
  <c r="D29" i="2" s="1"/>
  <c r="C28" i="2"/>
  <c r="B28" i="2"/>
  <c r="D28" i="2" s="1"/>
  <c r="C27" i="2"/>
  <c r="E27" i="2" s="1"/>
  <c r="C26" i="2"/>
  <c r="B26" i="2"/>
  <c r="D26" i="2" s="1"/>
  <c r="C25" i="2"/>
  <c r="B25" i="2"/>
  <c r="D25" i="2" s="1"/>
  <c r="E24" i="2"/>
  <c r="B24" i="2"/>
  <c r="D24" i="2" s="1"/>
  <c r="E23" i="2"/>
  <c r="C23" i="2"/>
  <c r="B23" i="2"/>
  <c r="C22" i="2"/>
  <c r="E22" i="2" s="1"/>
  <c r="B22" i="2"/>
  <c r="D22" i="2" s="1"/>
  <c r="C21" i="2"/>
  <c r="E21" i="2" s="1"/>
  <c r="B21" i="2"/>
  <c r="D21" i="2" s="1"/>
  <c r="E20" i="2"/>
  <c r="C20" i="2"/>
  <c r="D20" i="2" s="1"/>
  <c r="C19" i="2"/>
  <c r="B19" i="2"/>
  <c r="E19" i="2" s="1"/>
  <c r="E15" i="2"/>
  <c r="D15" i="2"/>
  <c r="B15" i="2"/>
  <c r="C13" i="2"/>
  <c r="B13" i="2"/>
  <c r="C11" i="2"/>
  <c r="C12" i="2" s="1"/>
  <c r="B12" i="2"/>
  <c r="E10" i="2"/>
  <c r="D10" i="2"/>
  <c r="E9" i="2"/>
  <c r="C9" i="2"/>
  <c r="B9" i="2"/>
  <c r="E8" i="2"/>
  <c r="D8" i="2"/>
  <c r="B62" i="1"/>
  <c r="B61" i="1"/>
  <c r="B60" i="1"/>
  <c r="B59" i="1"/>
  <c r="B58" i="1"/>
  <c r="B57" i="1"/>
  <c r="B53" i="1"/>
  <c r="B54" i="1" s="1"/>
  <c r="B55" i="1" s="1"/>
  <c r="B63" i="1" s="1"/>
  <c r="B52" i="1"/>
  <c r="B51" i="1"/>
  <c r="B50" i="1"/>
  <c r="B48" i="1"/>
  <c r="B47" i="1"/>
  <c r="B40" i="1"/>
  <c r="B39" i="1"/>
  <c r="B38" i="1"/>
  <c r="B37" i="1"/>
  <c r="B36" i="1"/>
  <c r="B34" i="1"/>
  <c r="B33" i="1"/>
  <c r="B35" i="1" s="1"/>
  <c r="B32" i="1"/>
  <c r="B31" i="1"/>
  <c r="B30" i="1"/>
  <c r="B29" i="1"/>
  <c r="B28" i="1"/>
  <c r="B24" i="1"/>
  <c r="B23" i="1"/>
  <c r="B25" i="1" s="1"/>
  <c r="B26" i="1" s="1"/>
  <c r="B19" i="1"/>
  <c r="B20" i="1" s="1"/>
  <c r="B17" i="1"/>
  <c r="B16" i="1"/>
  <c r="B13" i="1"/>
  <c r="B12" i="1"/>
  <c r="B14" i="1" s="1"/>
  <c r="B21" i="1" s="1"/>
  <c r="B11" i="1"/>
  <c r="B10" i="1"/>
  <c r="B9" i="1"/>
  <c r="O14" i="6"/>
  <c r="O13" i="6"/>
  <c r="O12" i="6"/>
  <c r="E28" i="2" l="1"/>
  <c r="E31" i="2"/>
  <c r="E55" i="2"/>
  <c r="D12" i="2"/>
  <c r="D32" i="2"/>
  <c r="D46" i="2"/>
  <c r="D19" i="2"/>
  <c r="E46" i="2"/>
  <c r="E29" i="2"/>
  <c r="E33" i="2"/>
  <c r="E37" i="2"/>
  <c r="E43" i="2"/>
  <c r="E57" i="2"/>
  <c r="D73" i="2"/>
  <c r="D43" i="2"/>
  <c r="B58" i="2"/>
  <c r="D13" i="2"/>
  <c r="D23" i="2"/>
  <c r="E26" i="2"/>
  <c r="D34" i="2"/>
  <c r="D50" i="2"/>
  <c r="D54" i="2"/>
  <c r="E25" i="2"/>
  <c r="C40" i="2"/>
  <c r="E40" i="2" s="1"/>
  <c r="D35" i="2"/>
  <c r="D44" i="2"/>
  <c r="E44" i="2"/>
  <c r="D40" i="2"/>
  <c r="D58" i="2"/>
  <c r="C74" i="2"/>
  <c r="E74" i="2" s="1"/>
  <c r="E70" i="2"/>
  <c r="C14" i="2"/>
  <c r="E12" i="2"/>
  <c r="B14" i="2"/>
  <c r="D31" i="2"/>
  <c r="D53" i="2"/>
  <c r="D63" i="2"/>
  <c r="B69" i="2"/>
  <c r="D69" i="2" s="1"/>
  <c r="C35" i="2"/>
  <c r="E35" i="2" s="1"/>
  <c r="C58" i="2"/>
  <c r="E58" i="2" s="1"/>
  <c r="D72" i="2"/>
  <c r="D11" i="2"/>
  <c r="B52" i="2"/>
  <c r="D52" i="2" s="1"/>
  <c r="D56" i="2"/>
  <c r="E69" i="2"/>
  <c r="D27" i="2"/>
  <c r="E13" i="2"/>
  <c r="E11" i="2"/>
  <c r="D9" i="2"/>
  <c r="B41" i="1"/>
  <c r="B42" i="1" s="1"/>
  <c r="C60" i="2" l="1"/>
  <c r="B60" i="2"/>
  <c r="E52" i="2"/>
  <c r="B16" i="2"/>
  <c r="D14" i="2"/>
  <c r="C16" i="2"/>
  <c r="E14" i="2"/>
  <c r="B70" i="2"/>
  <c r="D60" i="2" l="1"/>
  <c r="C17" i="2"/>
  <c r="E16" i="2"/>
  <c r="D70" i="2"/>
  <c r="B74" i="2"/>
  <c r="D74" i="2" s="1"/>
  <c r="E60" i="2"/>
  <c r="D16" i="2"/>
  <c r="B17" i="2"/>
  <c r="C61" i="2" l="1"/>
  <c r="E17" i="2"/>
  <c r="D17" i="2"/>
  <c r="B61" i="2"/>
  <c r="D61" i="2" l="1"/>
  <c r="B75" i="2"/>
  <c r="E61" i="2"/>
  <c r="C75" i="2"/>
  <c r="D75" i="2" l="1"/>
  <c r="E75" i="2"/>
  <c r="F7" i="9" l="1"/>
  <c r="E7" i="9"/>
  <c r="B7" i="9"/>
  <c r="F6" i="9"/>
  <c r="D6" i="9"/>
  <c r="D7" i="9" s="1"/>
  <c r="C6" i="9"/>
  <c r="C7" i="9" s="1"/>
  <c r="G7" i="9" s="1"/>
  <c r="B6" i="9"/>
  <c r="F8" i="4"/>
  <c r="E8" i="4"/>
  <c r="D8" i="4"/>
  <c r="C8" i="4"/>
  <c r="B7" i="4"/>
  <c r="G7" i="4" s="1"/>
  <c r="B6" i="4"/>
  <c r="B8" i="4" s="1"/>
  <c r="G6" i="9" l="1"/>
  <c r="G8" i="4"/>
  <c r="G6" i="4"/>
  <c r="G31" i="2" l="1"/>
  <c r="G30" i="2"/>
  <c r="G23" i="2"/>
  <c r="G22" i="2"/>
  <c r="G32" i="2" l="1"/>
  <c r="G24" i="2"/>
  <c r="N23" i="6"/>
  <c r="H29" i="2" l="1"/>
  <c r="H58" i="2"/>
  <c r="H59" i="2"/>
  <c r="H60" i="2" l="1"/>
  <c r="H52" i="2"/>
  <c r="H44" i="2"/>
  <c r="H40" i="2"/>
  <c r="H35" i="2"/>
  <c r="K35" i="2" s="1"/>
  <c r="H17" i="2"/>
  <c r="O19" i="6"/>
  <c r="H66" i="2" l="1"/>
  <c r="H61" i="2"/>
  <c r="H63" i="2" s="1"/>
  <c r="H65" i="2"/>
  <c r="H67" i="2" l="1"/>
  <c r="N15" i="6" l="1"/>
  <c r="N14" i="6"/>
  <c r="N13" i="6"/>
  <c r="N12" i="6"/>
  <c r="M27" i="5" l="1"/>
  <c r="M24" i="5"/>
  <c r="M21" i="5"/>
  <c r="M16" i="5"/>
  <c r="M11" i="5"/>
  <c r="L29" i="5"/>
  <c r="M29" i="5" l="1"/>
  <c r="M23" i="6" l="1"/>
  <c r="Y18" i="6"/>
  <c r="M15" i="6"/>
  <c r="L15" i="6"/>
  <c r="K15" i="6"/>
  <c r="J15" i="6"/>
  <c r="I15" i="6"/>
  <c r="H15" i="6"/>
  <c r="G15" i="6"/>
  <c r="F15" i="6"/>
  <c r="E15" i="6"/>
  <c r="M14" i="6"/>
  <c r="M19" i="6" s="1"/>
  <c r="L14" i="6"/>
  <c r="K14" i="6"/>
  <c r="K19" i="6" s="1"/>
  <c r="J14" i="6"/>
  <c r="I14" i="6"/>
  <c r="H14" i="6"/>
  <c r="G14" i="6"/>
  <c r="F14" i="6"/>
  <c r="E14" i="6"/>
  <c r="E19" i="6" s="1"/>
  <c r="M13" i="6"/>
  <c r="L13" i="6"/>
  <c r="K13" i="6"/>
  <c r="J13" i="6"/>
  <c r="I13" i="6"/>
  <c r="H13" i="6"/>
  <c r="G13" i="6"/>
  <c r="F13" i="6"/>
  <c r="E13" i="6"/>
  <c r="M12" i="6"/>
  <c r="L12" i="6"/>
  <c r="P12" i="6" s="1"/>
  <c r="K12" i="6"/>
  <c r="J12" i="6"/>
  <c r="I12" i="6"/>
  <c r="H12" i="6"/>
  <c r="G12" i="6"/>
  <c r="F12" i="6"/>
  <c r="E12" i="6"/>
  <c r="E11" i="6"/>
  <c r="P11" i="6" s="1"/>
  <c r="J19" i="6" l="1"/>
  <c r="P13" i="6"/>
  <c r="P15" i="6"/>
  <c r="H19" i="6"/>
  <c r="G19" i="6"/>
  <c r="I19" i="6"/>
  <c r="L19" i="6"/>
  <c r="P14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P17" i="6" l="1"/>
  <c r="M20" i="6"/>
  <c r="N11" i="6"/>
  <c r="N17" i="6" s="1"/>
  <c r="K20" i="6"/>
  <c r="J20" i="6"/>
  <c r="G20" i="6"/>
  <c r="E20" i="6"/>
  <c r="H20" i="6"/>
  <c r="I20" i="6"/>
  <c r="F20" i="6"/>
  <c r="L20" i="6"/>
  <c r="F29" i="5"/>
  <c r="F34" i="5" s="1"/>
  <c r="N20" i="6" l="1"/>
  <c r="O11" i="6"/>
  <c r="O17" i="6" s="1"/>
  <c r="O20" i="6" s="1"/>
</calcChain>
</file>

<file path=xl/sharedStrings.xml><?xml version="1.0" encoding="utf-8"?>
<sst xmlns="http://schemas.openxmlformats.org/spreadsheetml/2006/main" count="405" uniqueCount="310">
  <si>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</si>
  <si>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</si>
  <si>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</si>
  <si>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</si>
  <si>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</si>
  <si>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</si>
  <si>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</si>
  <si>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</si>
  <si>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</si>
  <si>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</si>
  <si>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</si>
  <si>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</si>
  <si>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</si>
  <si>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</si>
  <si>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</si>
  <si>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</si>
  <si>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</si>
  <si>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</si>
  <si>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</si>
  <si>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</si>
  <si>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</si>
  <si>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</si>
  <si>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</si>
  <si>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</si>
  <si>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</si>
  <si>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</si>
  <si>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</si>
  <si>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</si>
  <si>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</si>
  <si>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</si>
  <si>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</si>
  <si>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</si>
  <si>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</si>
  <si>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</si>
  <si>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</si>
  <si>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</si>
  <si>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</si>
  <si>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</si>
  <si>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</si>
  <si>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</si>
  <si>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</si>
  <si>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</si>
  <si>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</si>
  <si>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</si>
  <si>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</si>
  <si>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</si>
  <si>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</si>
  <si>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</si>
  <si>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</si>
  <si>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</si>
  <si>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</si>
  <si>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</si>
  <si>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</si>
  <si>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</si>
  <si>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</si>
  <si>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</si>
  <si>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</si>
  <si>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</si>
  <si>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</si>
  <si>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</si>
  <si>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</si>
  <si>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</si>
  <si>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</si>
  <si>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</si>
  <si>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</si>
  <si>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</si>
  <si>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</si>
  <si>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</si>
  <si>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</si>
  <si>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</si>
  <si>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</si>
  <si>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</si>
  <si>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</si>
  <si>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</si>
  <si>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</si>
  <si>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</si>
  <si>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</si>
  <si>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</si>
  <si>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</si>
  <si>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</si>
  <si>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</si>
  <si>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</si>
  <si>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</si>
  <si>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</si>
  <si>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</si>
  <si>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</si>
  <si>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</si>
  <si>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</si>
  <si>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</si>
  <si>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</si>
  <si>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</si>
  <si>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</si>
  <si>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</si>
  <si>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</si>
  <si>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</si>
  <si>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</si>
  <si>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</si>
  <si>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</si>
  <si>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</si>
  <si>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</si>
  <si>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</si>
  <si>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</si>
  <si>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</si>
  <si>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</si>
  <si>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</si>
  <si>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</si>
  <si>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</si>
  <si>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</si>
  <si>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</si>
  <si>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</si>
  <si>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</si>
  <si>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</si>
  <si>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</si>
  <si>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</si>
  <si>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</si>
  <si>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</si>
  <si>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</si>
  <si>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</si>
  <si>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</si>
  <si>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</si>
  <si>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</si>
  <si>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</si>
  <si>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</si>
  <si>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</si>
  <si>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</si>
  <si>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</si>
  <si>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</si>
  <si>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</si>
  <si>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</si>
  <si>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</si>
  <si>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</si>
  <si>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</si>
  <si>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</si>
  <si>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</si>
  <si>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</si>
  <si>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</si>
  <si>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</si>
  <si>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</si>
  <si>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</si>
  <si>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</si>
  <si>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</si>
  <si>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</si>
  <si>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</si>
  <si>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</si>
  <si>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</si>
  <si>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</si>
  <si>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</si>
  <si>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</si>
  <si>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</si>
  <si>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</si>
  <si>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</si>
  <si>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</si>
  <si>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</si>
  <si>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</si>
  <si>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</si>
  <si>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</si>
  <si>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</si>
  <si>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</si>
  <si>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</si>
  <si>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</si>
  <si>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</si>
  <si>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</si>
  <si>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</si>
  <si>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</si>
  <si>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</si>
  <si>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</si>
  <si>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</si>
  <si>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</si>
  <si>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</si>
  <si>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</si>
  <si>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</si>
  <si>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</si>
  <si>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</si>
  <si>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</si>
  <si>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</si>
  <si>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</si>
  <si>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</si>
  <si>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</si>
  <si>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</si>
  <si>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</si>
  <si>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</si>
  <si>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</si>
  <si>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</si>
  <si>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</si>
  <si>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</si>
  <si>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</si>
  <si>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>May</t>
  </si>
  <si>
    <t>June</t>
  </si>
  <si>
    <t xml:space="preserve">      45300 Realized Gains and Losses</t>
  </si>
  <si>
    <t>Fiscal 2023</t>
  </si>
  <si>
    <t>Supplies</t>
  </si>
  <si>
    <t>Amy</t>
  </si>
  <si>
    <t>Kim</t>
  </si>
  <si>
    <t>Linda</t>
  </si>
  <si>
    <t>Website</t>
  </si>
  <si>
    <t>Training</t>
  </si>
  <si>
    <t>Travel</t>
  </si>
  <si>
    <t>Budget for Continuing Operations</t>
  </si>
  <si>
    <t>Additional Revenue and Spending for L&amp;L Program</t>
  </si>
  <si>
    <t>Variance</t>
  </si>
  <si>
    <t xml:space="preserve">   60000 L&amp;L Event</t>
  </si>
  <si>
    <t>12.31.2021</t>
  </si>
  <si>
    <t>High</t>
  </si>
  <si>
    <t xml:space="preserve">      Withdrawal from Reserves</t>
  </si>
  <si>
    <t xml:space="preserve">     Training</t>
  </si>
  <si>
    <t>Fiscal Year 2023</t>
  </si>
  <si>
    <t>FY 2013 - FY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</si>
  <si>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</si>
  <si>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</si>
  <si>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</si>
  <si>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</si>
  <si>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</si>
  <si>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</si>
  <si>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Life and Legacy Grinspoon</t>
  </si>
  <si>
    <t>Permanently restricted</t>
  </si>
  <si>
    <t>Temporarily restricted</t>
  </si>
  <si>
    <t>Unrestricted DAF</t>
  </si>
  <si>
    <t>Unrestricted Funds</t>
  </si>
  <si>
    <t>Fundraising</t>
  </si>
  <si>
    <t>Mgmt &amp; Gen.</t>
  </si>
  <si>
    <t>Prog. Svs. Exp.</t>
  </si>
  <si>
    <t>Netcentric IT Management, Inc.</t>
  </si>
  <si>
    <t>less revenue than budget</t>
  </si>
  <si>
    <t>less expense than budget</t>
  </si>
  <si>
    <t>greater expense than budget</t>
  </si>
  <si>
    <t>A/R Aging Summary</t>
  </si>
  <si>
    <t>Revenue shortfall</t>
  </si>
  <si>
    <t>Expense less than budget</t>
  </si>
  <si>
    <t>Non-profit Accounting Solutions, LLC</t>
  </si>
  <si>
    <t>actual</t>
  </si>
  <si>
    <t>budget</t>
  </si>
  <si>
    <t>Operating</t>
  </si>
  <si>
    <t>Grinspoon Foundation</t>
  </si>
  <si>
    <t>As of March 31, 2023</t>
  </si>
  <si>
    <t>For Management use only</t>
  </si>
  <si>
    <t>Saturday, Apr 22, 2023 04:44:17 PM GMT-7 - Accrual Basis</t>
  </si>
  <si>
    <t>Saturday, Apr 22, 2023 04:46:19 PM GMT-7</t>
  </si>
  <si>
    <t>Saturday, Apr 22, 2023 04:45:50 PM GMT-7</t>
  </si>
  <si>
    <t>Estimated</t>
  </si>
  <si>
    <t>April</t>
  </si>
  <si>
    <t>Sub-Total</t>
  </si>
  <si>
    <t>Fiscal 2024</t>
  </si>
  <si>
    <t>increase</t>
  </si>
  <si>
    <t>Current Rate</t>
  </si>
  <si>
    <t>Hrs per wk</t>
  </si>
  <si>
    <t>Extended</t>
  </si>
  <si>
    <t>Rate</t>
  </si>
  <si>
    <t>Week</t>
  </si>
  <si>
    <t>Annual</t>
  </si>
  <si>
    <t>Amt accrued for Renaissance</t>
  </si>
  <si>
    <t xml:space="preserve">  JFedShaw Grinspoon Grant</t>
  </si>
  <si>
    <t>Total Proposed Budget</t>
  </si>
  <si>
    <t xml:space="preserve">  Incentive Grants</t>
  </si>
  <si>
    <t xml:space="preserve">  Payroll  and Consulting Fees</t>
  </si>
  <si>
    <t xml:space="preserve">  Professional Fees</t>
  </si>
  <si>
    <t xml:space="preserve">  Third Party Processing Fee</t>
  </si>
  <si>
    <t xml:space="preserve">  Office Expenses</t>
  </si>
  <si>
    <t xml:space="preserve">  Other</t>
  </si>
  <si>
    <t>Asset Summary as of April 30, 2023</t>
  </si>
  <si>
    <t>04.30.2023</t>
  </si>
  <si>
    <t>As of April 30, 2023</t>
  </si>
  <si>
    <t>Saturday, May 20, 2023 05:23:26 PM GMT-7 - Accrual Basis</t>
  </si>
  <si>
    <t>July 2022 - April 2023</t>
  </si>
  <si>
    <t>Saturday, May 20, 2023 05:24:48 PM GMT-7 - Accrual Basis</t>
  </si>
  <si>
    <t>Notes</t>
  </si>
  <si>
    <t xml:space="preserve">   60009 Third Party Processing Fee</t>
  </si>
  <si>
    <r>
      <t xml:space="preserve">  JFedShaw Grinspoon Grant </t>
    </r>
    <r>
      <rPr>
        <b/>
        <sz val="8"/>
        <color rgb="FFFF0000"/>
        <rFont val="Arial"/>
        <family val="2"/>
      </rPr>
      <t>NEW</t>
    </r>
  </si>
  <si>
    <t xml:space="preserve"> Contributions</t>
  </si>
  <si>
    <t xml:space="preserve"> Fee Income from Portfolio</t>
  </si>
  <si>
    <t>L&amp;L HGF Grant</t>
  </si>
  <si>
    <t xml:space="preserve">      Total Fee Income</t>
  </si>
  <si>
    <t xml:space="preserve">   Total Support and Revenue</t>
  </si>
  <si>
    <t xml:space="preserve">       Interest</t>
  </si>
  <si>
    <t>REVENUE</t>
  </si>
  <si>
    <t>Total Fiscal 2023 Budget</t>
  </si>
  <si>
    <t>EXPENSES</t>
  </si>
  <si>
    <t>May &amp; June</t>
  </si>
  <si>
    <t>Statement of Activity</t>
  </si>
  <si>
    <t>Jewish Community Foundation of Greater Mercer County</t>
  </si>
  <si>
    <t>Based on historical analysis</t>
  </si>
  <si>
    <t>Based on asset base of $14,500,000</t>
  </si>
  <si>
    <t>Set by Grinspoon Foundation</t>
  </si>
  <si>
    <t>Grinspoon Foundation estimate of grants to be distributed</t>
  </si>
  <si>
    <t>JFedShaw Grinspoon grant</t>
  </si>
  <si>
    <t>$24,000 for FidTech; $5,000 for Renaissance</t>
  </si>
  <si>
    <t>Increase</t>
  </si>
  <si>
    <t>Payroll processing</t>
  </si>
  <si>
    <t>PR taxes</t>
  </si>
  <si>
    <t>Acctg: 26,400;  Auditor: 9,500; Legal 1,000</t>
  </si>
  <si>
    <t>Office Expenses</t>
  </si>
  <si>
    <t>Licenses</t>
  </si>
  <si>
    <t xml:space="preserve"> Postage, Mailing Service</t>
  </si>
  <si>
    <t>Printing and Copying</t>
  </si>
  <si>
    <t>Membership Dues</t>
  </si>
  <si>
    <t xml:space="preserve"> Tel/Communication/Internet</t>
  </si>
  <si>
    <t>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</si>
  <si>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L &amp; L Event</t>
  </si>
  <si>
    <t>Bank Fees</t>
  </si>
  <si>
    <t>Rent</t>
  </si>
  <si>
    <t>Promotional Material</t>
  </si>
  <si>
    <t>JCC/Ewing Property</t>
  </si>
  <si>
    <t>Advertising/Promotional</t>
  </si>
  <si>
    <t>Miscellaneous</t>
  </si>
  <si>
    <t>Liability Insurance</t>
  </si>
  <si>
    <t>Conference, Convention, Meeting</t>
  </si>
  <si>
    <t>JFCGM Programs</t>
  </si>
  <si>
    <t>Board Meeting Expenses</t>
  </si>
  <si>
    <t>See below</t>
  </si>
  <si>
    <t>Estimated 07/01/22 - 06/30/23</t>
  </si>
  <si>
    <t>Actual      07/01/22 - 04/30/23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</si>
</sst>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  <font>
      <b/>
      <sz val="8"/>
      <color rgb="FFFF0000"/>
      <name val="Arial"/>
      <family val="2"/>
    </font>
    <font>
      <sz val="14"/>
      <color indexed="8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167" fontId="0" fillId="0" borderId="0" xfId="1" applyNumberFormat="1" applyFont="1"/>
    <xf numFmtId="167" fontId="0" fillId="0" borderId="0" xfId="1" applyNumberFormat="1" applyFont="1" applyFill="1"/>
    <xf numFmtId="0" fontId="5" fillId="0" borderId="0" xfId="0" applyFont="1" applyAlignment="1">
      <alignment horizontal="center" wrapText="1"/>
    </xf>
    <xf numFmtId="43" fontId="0" fillId="0" borderId="0" xfId="0" applyNumberFormat="1"/>
    <xf numFmtId="0" fontId="0" fillId="0" borderId="1" xfId="0" applyBorder="1"/>
    <xf numFmtId="0" fontId="2" fillId="0" borderId="0" xfId="0" applyFont="1" applyAlignment="1">
      <alignment horizontal="center"/>
    </xf>
    <xf numFmtId="167" fontId="4" fillId="0" borderId="2" xfId="1" applyNumberFormat="1" applyFont="1" applyBorder="1" applyAlignment="1">
      <alignment horizontal="right" wrapText="1"/>
    </xf>
    <xf numFmtId="167" fontId="3" fillId="0" borderId="0" xfId="1" applyNumberFormat="1" applyFont="1" applyAlignment="1">
      <alignment wrapText="1"/>
    </xf>
    <xf numFmtId="167" fontId="3" fillId="0" borderId="0" xfId="1" applyNumberFormat="1" applyFont="1" applyAlignment="1">
      <alignment horizontal="right" wrapText="1"/>
    </xf>
    <xf numFmtId="167" fontId="12" fillId="0" borderId="1" xfId="1" applyNumberFormat="1" applyFont="1" applyBorder="1"/>
    <xf numFmtId="167" fontId="4" fillId="0" borderId="0" xfId="1" applyNumberFormat="1" applyFont="1" applyAlignment="1">
      <alignment horizontal="right" wrapText="1"/>
    </xf>
    <xf numFmtId="167" fontId="4" fillId="0" borderId="0" xfId="1" applyNumberFormat="1" applyFont="1" applyFill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65" fontId="0" fillId="0" borderId="1" xfId="0" applyNumberFormat="1" applyBorder="1"/>
    <xf numFmtId="44" fontId="0" fillId="0" borderId="19" xfId="0" applyNumberFormat="1" applyBorder="1"/>
    <xf numFmtId="0" fontId="22" fillId="0" borderId="0" xfId="0" applyFont="1"/>
    <xf numFmtId="169" fontId="19" fillId="0" borderId="9" xfId="1" applyNumberFormat="1" applyFont="1" applyBorder="1"/>
    <xf numFmtId="164" fontId="0" fillId="0" borderId="1" xfId="0" applyNumberFormat="1" applyBorder="1"/>
    <xf numFmtId="0" fontId="23" fillId="0" borderId="1" xfId="0" applyFont="1" applyBorder="1" applyAlignment="1">
      <alignment horizontal="center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/>
    <xf numFmtId="44" fontId="3" fillId="0" borderId="12" xfId="0" applyNumberFormat="1" applyFont="1" applyBorder="1"/>
    <xf numFmtId="44" fontId="3" fillId="0" borderId="0" xfId="0" applyNumberFormat="1" applyFont="1"/>
    <xf numFmtId="165" fontId="4" fillId="0" borderId="0" xfId="0" applyNumberFormat="1" applyFont="1" applyAlignment="1">
      <alignment horizontal="right" wrapText="1"/>
    </xf>
    <xf numFmtId="0" fontId="5" fillId="0" borderId="7" xfId="0" applyFont="1" applyBorder="1" applyAlignment="1">
      <alignment horizontal="center" wrapText="1"/>
    </xf>
    <xf numFmtId="0" fontId="0" fillId="0" borderId="7" xfId="0" applyBorder="1"/>
    <xf numFmtId="165" fontId="4" fillId="0" borderId="20" xfId="0" applyNumberFormat="1" applyFont="1" applyBorder="1" applyAlignment="1">
      <alignment horizontal="right" wrapText="1"/>
    </xf>
    <xf numFmtId="0" fontId="3" fillId="0" borderId="7" xfId="0" applyFont="1" applyBorder="1"/>
    <xf numFmtId="0" fontId="3" fillId="0" borderId="8" xfId="0" applyFont="1" applyBorder="1"/>
    <xf numFmtId="44" fontId="3" fillId="0" borderId="5" xfId="0" applyNumberFormat="1" applyFont="1" applyBorder="1"/>
    <xf numFmtId="44" fontId="3" fillId="0" borderId="7" xfId="0" applyNumberFormat="1" applyFont="1" applyBorder="1"/>
    <xf numFmtId="0" fontId="25" fillId="0" borderId="0" xfId="0" applyFont="1"/>
    <xf numFmtId="0" fontId="25" fillId="0" borderId="1" xfId="0" applyFont="1" applyBorder="1"/>
    <xf numFmtId="0" fontId="0" fillId="4" borderId="0" xfId="0" applyFill="1"/>
    <xf numFmtId="0" fontId="0" fillId="0" borderId="0" xfId="0" applyAlignment="1">
      <alignment horizontal="center" wrapText="1"/>
    </xf>
    <xf numFmtId="9" fontId="0" fillId="0" borderId="0" xfId="3" applyFont="1"/>
    <xf numFmtId="0" fontId="0" fillId="0" borderId="16" xfId="0" applyBorder="1"/>
    <xf numFmtId="43" fontId="25" fillId="0" borderId="0" xfId="1" applyFont="1" applyFill="1"/>
    <xf numFmtId="167" fontId="25" fillId="0" borderId="0" xfId="1" applyNumberFormat="1" applyFont="1" applyFill="1"/>
    <xf numFmtId="167" fontId="25" fillId="0" borderId="1" xfId="1" applyNumberFormat="1" applyFont="1" applyFill="1" applyBorder="1"/>
    <xf numFmtId="167" fontId="4" fillId="0" borderId="2" xfId="1" applyNumberFormat="1" applyFont="1" applyFill="1" applyBorder="1" applyAlignment="1">
      <alignment horizontal="right" wrapText="1"/>
    </xf>
    <xf numFmtId="167" fontId="25" fillId="0" borderId="0" xfId="1" applyNumberFormat="1" applyFont="1" applyFill="1" applyBorder="1"/>
    <xf numFmtId="167" fontId="3" fillId="0" borderId="12" xfId="1" applyNumberFormat="1" applyFont="1" applyFill="1" applyBorder="1"/>
    <xf numFmtId="168" fontId="3" fillId="0" borderId="0" xfId="0" applyNumberFormat="1" applyFont="1"/>
    <xf numFmtId="165" fontId="4" fillId="0" borderId="7" xfId="0" applyNumberFormat="1" applyFont="1" applyBorder="1" applyAlignment="1">
      <alignment horizontal="right" wrapText="1"/>
    </xf>
    <xf numFmtId="167" fontId="4" fillId="0" borderId="0" xfId="1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26" fillId="0" borderId="0" xfId="0" applyFont="1" applyAlignment="1">
      <alignment horizontal="left" wrapText="1"/>
    </xf>
    <xf numFmtId="164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 wrapText="1"/>
    </xf>
    <xf numFmtId="165" fontId="26" fillId="0" borderId="2" xfId="0" applyNumberFormat="1" applyFont="1" applyBorder="1" applyAlignment="1">
      <alignment horizontal="right" wrapText="1"/>
    </xf>
    <xf numFmtId="10" fontId="27" fillId="0" borderId="0" xfId="0" applyNumberFormat="1" applyFont="1" applyAlignment="1">
      <alignment horizontal="right" wrapText="1"/>
    </xf>
    <xf numFmtId="10" fontId="26" fillId="0" borderId="2" xfId="0" applyNumberFormat="1" applyFont="1" applyBorder="1" applyAlignment="1">
      <alignment horizontal="right" wrapText="1"/>
    </xf>
    <xf numFmtId="0" fontId="0" fillId="1" borderId="0" xfId="0" applyFill="1"/>
    <xf numFmtId="0" fontId="5" fillId="1" borderId="0" xfId="0" applyFont="1" applyFill="1" applyAlignment="1">
      <alignment horizontal="center" wrapText="1"/>
    </xf>
    <xf numFmtId="0" fontId="0" fillId="5" borderId="0" xfId="0" applyFill="1"/>
    <xf numFmtId="0" fontId="5" fillId="5" borderId="0" xfId="0" applyFont="1" applyFill="1" applyAlignment="1">
      <alignment horizontal="center" wrapText="1"/>
    </xf>
    <xf numFmtId="44" fontId="25" fillId="0" borderId="0" xfId="0" applyNumberFormat="1" applyFont="1"/>
    <xf numFmtId="165" fontId="25" fillId="0" borderId="0" xfId="0" applyNumberFormat="1" applyFont="1"/>
    <xf numFmtId="167" fontId="0" fillId="1" borderId="0" xfId="1" applyNumberFormat="1" applyFont="1" applyFill="1"/>
    <xf numFmtId="167" fontId="0" fillId="0" borderId="7" xfId="1" applyNumberFormat="1" applyFont="1" applyBorder="1"/>
    <xf numFmtId="167" fontId="0" fillId="5" borderId="0" xfId="1" applyNumberFormat="1" applyFont="1" applyFill="1"/>
    <xf numFmtId="167" fontId="3" fillId="0" borderId="1" xfId="1" applyNumberFormat="1" applyFont="1" applyBorder="1" applyAlignment="1">
      <alignment horizontal="right" wrapText="1"/>
    </xf>
    <xf numFmtId="167" fontId="3" fillId="0" borderId="1" xfId="1" applyNumberFormat="1" applyFont="1" applyBorder="1" applyAlignment="1">
      <alignment wrapText="1"/>
    </xf>
    <xf numFmtId="167" fontId="0" fillId="0" borderId="12" xfId="1" applyNumberFormat="1" applyFont="1" applyBorder="1"/>
    <xf numFmtId="167" fontId="4" fillId="0" borderId="1" xfId="1" applyNumberFormat="1" applyFont="1" applyBorder="1" applyAlignment="1">
      <alignment horizontal="right" wrapText="1"/>
    </xf>
    <xf numFmtId="165" fontId="26" fillId="2" borderId="2" xfId="0" applyNumberFormat="1" applyFont="1" applyFill="1" applyBorder="1" applyAlignment="1">
      <alignment horizontal="right" wrapText="1"/>
    </xf>
    <xf numFmtId="167" fontId="4" fillId="0" borderId="3" xfId="1" applyNumberFormat="1" applyFont="1" applyBorder="1" applyAlignment="1">
      <alignment horizontal="right" wrapText="1"/>
    </xf>
    <xf numFmtId="0" fontId="5" fillId="1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64" fontId="3" fillId="0" borderId="21" xfId="0" applyNumberFormat="1" applyFont="1" applyBorder="1" applyAlignment="1">
      <alignment wrapText="1"/>
    </xf>
    <xf numFmtId="167" fontId="3" fillId="0" borderId="6" xfId="1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wrapText="1"/>
    </xf>
    <xf numFmtId="0" fontId="29" fillId="0" borderId="0" xfId="0" applyFont="1" applyAlignment="1">
      <alignment horizontal="center"/>
    </xf>
    <xf numFmtId="0" fontId="29" fillId="0" borderId="7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167" fontId="0" fillId="4" borderId="0" xfId="1" applyNumberFormat="1" applyFont="1" applyFill="1"/>
    <xf numFmtId="0" fontId="4" fillId="0" borderId="9" xfId="0" applyFont="1" applyBorder="1" applyAlignment="1">
      <alignment horizontal="left" wrapText="1"/>
    </xf>
    <xf numFmtId="167" fontId="4" fillId="0" borderId="7" xfId="1" applyNumberFormat="1" applyFont="1" applyFill="1" applyBorder="1" applyAlignment="1">
      <alignment horizontal="right" wrapText="1"/>
    </xf>
    <xf numFmtId="43" fontId="3" fillId="0" borderId="0" xfId="1" applyFont="1" applyFill="1"/>
    <xf numFmtId="43" fontId="3" fillId="0" borderId="7" xfId="1" applyFont="1" applyFill="1" applyBorder="1"/>
    <xf numFmtId="43" fontId="3" fillId="0" borderId="1" xfId="1" applyFont="1" applyFill="1" applyBorder="1"/>
    <xf numFmtId="43" fontId="25" fillId="0" borderId="9" xfId="1" applyFont="1" applyFill="1" applyBorder="1"/>
    <xf numFmtId="43" fontId="25" fillId="0" borderId="1" xfId="1" applyFont="1" applyFill="1" applyBorder="1"/>
    <xf numFmtId="43" fontId="25" fillId="0" borderId="0" xfId="1" applyFont="1" applyFill="1" applyBorder="1"/>
    <xf numFmtId="0" fontId="25" fillId="0" borderId="9" xfId="0" applyFont="1" applyBorder="1"/>
    <xf numFmtId="167" fontId="3" fillId="0" borderId="0" xfId="1" applyNumberFormat="1" applyFont="1" applyFill="1"/>
    <xf numFmtId="0" fontId="2" fillId="4" borderId="18" xfId="0" applyFont="1" applyFill="1" applyBorder="1" applyAlignment="1">
      <alignment horizontal="center"/>
    </xf>
    <xf numFmtId="167" fontId="30" fillId="0" borderId="6" xfId="1" applyNumberFormat="1" applyFont="1" applyBorder="1" applyAlignment="1">
      <alignment horizontal="right" wrapText="1"/>
    </xf>
    <xf numFmtId="167" fontId="30" fillId="1" borderId="0" xfId="1" applyNumberFormat="1" applyFont="1" applyFill="1"/>
    <xf numFmtId="167" fontId="30" fillId="0" borderId="0" xfId="1" applyNumberFormat="1" applyFont="1"/>
    <xf numFmtId="167" fontId="30" fillId="0" borderId="7" xfId="1" applyNumberFormat="1" applyFont="1" applyBorder="1"/>
    <xf numFmtId="167" fontId="30" fillId="5" borderId="0" xfId="1" applyNumberFormat="1" applyFont="1" applyFill="1" applyAlignment="1">
      <alignment horizontal="right" wrapText="1"/>
    </xf>
    <xf numFmtId="167" fontId="30" fillId="0" borderId="0" xfId="1" applyNumberFormat="1" applyFont="1" applyFill="1"/>
    <xf numFmtId="167" fontId="30" fillId="4" borderId="0" xfId="1" applyNumberFormat="1" applyFont="1" applyFill="1"/>
    <xf numFmtId="167" fontId="30" fillId="1" borderId="1" xfId="1" applyNumberFormat="1" applyFont="1" applyFill="1" applyBorder="1"/>
    <xf numFmtId="167" fontId="30" fillId="0" borderId="1" xfId="1" applyNumberFormat="1" applyFont="1" applyBorder="1"/>
    <xf numFmtId="167" fontId="30" fillId="0" borderId="8" xfId="1" applyNumberFormat="1" applyFont="1" applyBorder="1"/>
    <xf numFmtId="167" fontId="30" fillId="5" borderId="1" xfId="1" applyNumberFormat="1" applyFont="1" applyFill="1" applyBorder="1" applyAlignment="1">
      <alignment horizontal="right" wrapText="1"/>
    </xf>
    <xf numFmtId="167" fontId="30" fillId="0" borderId="1" xfId="1" applyNumberFormat="1" applyFont="1" applyFill="1" applyBorder="1"/>
    <xf numFmtId="167" fontId="5" fillId="0" borderId="21" xfId="1" applyNumberFormat="1" applyFont="1" applyBorder="1" applyAlignment="1">
      <alignment horizontal="right" wrapText="1"/>
    </xf>
    <xf numFmtId="167" fontId="5" fillId="1" borderId="2" xfId="1" applyNumberFormat="1" applyFont="1" applyFill="1" applyBorder="1" applyAlignment="1">
      <alignment horizontal="right" wrapText="1"/>
    </xf>
    <xf numFmtId="167" fontId="5" fillId="0" borderId="2" xfId="1" applyNumberFormat="1" applyFont="1" applyBorder="1" applyAlignment="1">
      <alignment horizontal="right" wrapText="1"/>
    </xf>
    <xf numFmtId="167" fontId="5" fillId="0" borderId="20" xfId="1" applyNumberFormat="1" applyFont="1" applyBorder="1" applyAlignment="1">
      <alignment horizontal="right" wrapText="1"/>
    </xf>
    <xf numFmtId="167" fontId="5" fillId="5" borderId="2" xfId="1" applyNumberFormat="1" applyFont="1" applyFill="1" applyBorder="1" applyAlignment="1">
      <alignment horizontal="right" wrapText="1"/>
    </xf>
    <xf numFmtId="167" fontId="5" fillId="0" borderId="2" xfId="1" applyNumberFormat="1" applyFont="1" applyFill="1" applyBorder="1" applyAlignment="1">
      <alignment horizontal="right" wrapText="1"/>
    </xf>
    <xf numFmtId="167" fontId="5" fillId="4" borderId="2" xfId="1" applyNumberFormat="1" applyFont="1" applyFill="1" applyBorder="1" applyAlignment="1">
      <alignment horizontal="right" wrapText="1"/>
    </xf>
    <xf numFmtId="167" fontId="30" fillId="0" borderId="9" xfId="1" applyNumberFormat="1" applyFont="1" applyBorder="1" applyAlignment="1">
      <alignment horizontal="right" wrapText="1"/>
    </xf>
    <xf numFmtId="167" fontId="30" fillId="1" borderId="1" xfId="1" applyNumberFormat="1" applyFont="1" applyFill="1" applyBorder="1" applyAlignment="1">
      <alignment horizontal="right" wrapText="1"/>
    </xf>
    <xf numFmtId="167" fontId="30" fillId="0" borderId="1" xfId="1" applyNumberFormat="1" applyFont="1" applyBorder="1" applyAlignment="1">
      <alignment horizontal="right" wrapText="1"/>
    </xf>
    <xf numFmtId="167" fontId="30" fillId="0" borderId="8" xfId="1" applyNumberFormat="1" applyFont="1" applyBorder="1" applyAlignment="1">
      <alignment horizontal="right" wrapText="1"/>
    </xf>
    <xf numFmtId="167" fontId="30" fillId="5" borderId="1" xfId="1" applyNumberFormat="1" applyFont="1" applyFill="1" applyBorder="1"/>
    <xf numFmtId="167" fontId="30" fillId="0" borderId="4" xfId="1" applyNumberFormat="1" applyFont="1" applyBorder="1"/>
    <xf numFmtId="167" fontId="30" fillId="1" borderId="0" xfId="1" applyNumberFormat="1" applyFont="1" applyFill="1" applyBorder="1" applyAlignment="1">
      <alignment horizontal="right" wrapText="1"/>
    </xf>
    <xf numFmtId="167" fontId="30" fillId="0" borderId="0" xfId="1" applyNumberFormat="1" applyFont="1" applyBorder="1" applyAlignment="1">
      <alignment horizontal="right" wrapText="1"/>
    </xf>
    <xf numFmtId="167" fontId="30" fillId="0" borderId="7" xfId="1" applyNumberFormat="1" applyFont="1" applyBorder="1" applyAlignment="1">
      <alignment horizontal="right" wrapText="1"/>
    </xf>
    <xf numFmtId="167" fontId="30" fillId="5" borderId="0" xfId="1" applyNumberFormat="1" applyFont="1" applyFill="1"/>
    <xf numFmtId="167" fontId="30" fillId="0" borderId="0" xfId="1" applyNumberFormat="1" applyFont="1" applyBorder="1"/>
    <xf numFmtId="167" fontId="30" fillId="0" borderId="12" xfId="1" applyNumberFormat="1" applyFont="1" applyFill="1" applyBorder="1"/>
    <xf numFmtId="167" fontId="30" fillId="0" borderId="12" xfId="1" applyNumberFormat="1" applyFont="1" applyBorder="1"/>
    <xf numFmtId="167" fontId="30" fillId="4" borderId="12" xfId="1" applyNumberFormat="1" applyFont="1" applyFill="1" applyBorder="1"/>
    <xf numFmtId="167" fontId="5" fillId="0" borderId="6" xfId="1" applyNumberFormat="1" applyFont="1" applyBorder="1" applyAlignment="1">
      <alignment horizontal="right" wrapText="1"/>
    </xf>
    <xf numFmtId="167" fontId="30" fillId="4" borderId="1" xfId="1" applyNumberFormat="1" applyFont="1" applyFill="1" applyBorder="1"/>
    <xf numFmtId="167" fontId="5" fillId="0" borderId="5" xfId="1" applyNumberFormat="1" applyFont="1" applyBorder="1" applyAlignment="1">
      <alignment horizontal="right" wrapText="1"/>
    </xf>
    <xf numFmtId="167" fontId="5" fillId="0" borderId="9" xfId="1" applyNumberFormat="1" applyFont="1" applyBorder="1" applyAlignment="1">
      <alignment horizontal="right" wrapText="1"/>
    </xf>
    <xf numFmtId="167" fontId="5" fillId="1" borderId="1" xfId="1" applyNumberFormat="1" applyFont="1" applyFill="1" applyBorder="1" applyAlignment="1">
      <alignment horizontal="right" wrapText="1"/>
    </xf>
    <xf numFmtId="167" fontId="5" fillId="0" borderId="1" xfId="1" applyNumberFormat="1" applyFont="1" applyBorder="1" applyAlignment="1">
      <alignment horizontal="right" wrapText="1"/>
    </xf>
    <xf numFmtId="167" fontId="5" fillId="0" borderId="8" xfId="1" applyNumberFormat="1" applyFont="1" applyBorder="1" applyAlignment="1">
      <alignment horizontal="right" wrapText="1"/>
    </xf>
    <xf numFmtId="167" fontId="5" fillId="5" borderId="1" xfId="1" applyNumberFormat="1" applyFont="1" applyFill="1" applyBorder="1" applyAlignment="1">
      <alignment horizontal="right" wrapText="1"/>
    </xf>
    <xf numFmtId="167" fontId="5" fillId="0" borderId="1" xfId="1" applyNumberFormat="1" applyFont="1" applyFill="1" applyBorder="1" applyAlignment="1">
      <alignment horizontal="right" wrapText="1"/>
    </xf>
    <xf numFmtId="167" fontId="5" fillId="4" borderId="1" xfId="1" applyNumberFormat="1" applyFont="1" applyFill="1" applyBorder="1" applyAlignment="1">
      <alignment horizontal="right" wrapText="1"/>
    </xf>
    <xf numFmtId="167" fontId="5" fillId="1" borderId="0" xfId="1" applyNumberFormat="1" applyFont="1" applyFill="1" applyAlignment="1">
      <alignment horizontal="right" wrapText="1"/>
    </xf>
    <xf numFmtId="167" fontId="5" fillId="0" borderId="0" xfId="1" applyNumberFormat="1" applyFont="1" applyAlignment="1">
      <alignment horizontal="right" wrapText="1"/>
    </xf>
    <xf numFmtId="167" fontId="5" fillId="0" borderId="7" xfId="1" applyNumberFormat="1" applyFont="1" applyBorder="1" applyAlignment="1">
      <alignment horizontal="right" wrapText="1"/>
    </xf>
    <xf numFmtId="167" fontId="5" fillId="5" borderId="0" xfId="1" applyNumberFormat="1" applyFont="1" applyFill="1" applyAlignment="1">
      <alignment horizontal="right" wrapText="1"/>
    </xf>
    <xf numFmtId="167" fontId="5" fillId="0" borderId="0" xfId="1" applyNumberFormat="1" applyFont="1" applyFill="1" applyBorder="1" applyAlignment="1">
      <alignment horizontal="right" wrapText="1"/>
    </xf>
    <xf numFmtId="167" fontId="5" fillId="0" borderId="0" xfId="1" applyNumberFormat="1" applyFont="1" applyBorder="1" applyAlignment="1">
      <alignment horizontal="right" wrapText="1"/>
    </xf>
    <xf numFmtId="167" fontId="5" fillId="4" borderId="0" xfId="1" applyNumberFormat="1" applyFont="1" applyFill="1" applyBorder="1" applyAlignment="1">
      <alignment horizontal="right" wrapText="1"/>
    </xf>
    <xf numFmtId="167" fontId="30" fillId="0" borderId="0" xfId="1" applyNumberFormat="1" applyFont="1" applyFill="1" applyBorder="1" applyAlignment="1">
      <alignment horizontal="right" wrapText="1"/>
    </xf>
    <xf numFmtId="167" fontId="30" fillId="0" borderId="0" xfId="1" applyNumberFormat="1" applyFont="1" applyAlignment="1">
      <alignment horizontal="right" wrapText="1"/>
    </xf>
    <xf numFmtId="167" fontId="30" fillId="4" borderId="0" xfId="1" applyNumberFormat="1" applyFont="1" applyFill="1" applyBorder="1" applyAlignment="1">
      <alignment horizontal="right" wrapText="1"/>
    </xf>
    <xf numFmtId="167" fontId="30" fillId="0" borderId="1" xfId="1" applyNumberFormat="1" applyFont="1" applyFill="1" applyBorder="1" applyAlignment="1">
      <alignment horizontal="right" wrapText="1"/>
    </xf>
    <xf numFmtId="167" fontId="30" fillId="4" borderId="1" xfId="1" applyNumberFormat="1" applyFont="1" applyFill="1" applyBorder="1" applyAlignment="1">
      <alignment horizontal="right" wrapText="1"/>
    </xf>
    <xf numFmtId="167" fontId="5" fillId="0" borderId="10" xfId="1" applyNumberFormat="1" applyFont="1" applyFill="1" applyBorder="1" applyAlignment="1">
      <alignment horizontal="right" wrapText="1"/>
    </xf>
    <xf numFmtId="167" fontId="5" fillId="0" borderId="3" xfId="1" applyNumberFormat="1" applyFont="1" applyFill="1" applyBorder="1" applyAlignment="1">
      <alignment horizontal="right" wrapText="1"/>
    </xf>
    <xf numFmtId="167" fontId="5" fillId="0" borderId="11" xfId="1" applyNumberFormat="1" applyFont="1" applyFill="1" applyBorder="1" applyAlignment="1">
      <alignment horizontal="right" wrapText="1"/>
    </xf>
    <xf numFmtId="167" fontId="5" fillId="4" borderId="3" xfId="1" applyNumberFormat="1" applyFont="1" applyFill="1" applyBorder="1" applyAlignment="1">
      <alignment horizontal="right" wrapText="1"/>
    </xf>
    <xf numFmtId="167" fontId="5" fillId="0" borderId="0" xfId="1" applyNumberFormat="1" applyFont="1" applyFill="1" applyAlignment="1">
      <alignment horizontal="right" wrapText="1"/>
    </xf>
    <xf numFmtId="167" fontId="5" fillId="0" borderId="7" xfId="1" applyNumberFormat="1" applyFont="1" applyFill="1" applyBorder="1" applyAlignment="1">
      <alignment horizontal="right" wrapText="1"/>
    </xf>
    <xf numFmtId="0" fontId="0" fillId="0" borderId="20" xfId="0" applyBorder="1"/>
    <xf numFmtId="167" fontId="30" fillId="0" borderId="7" xfId="1" applyNumberFormat="1" applyFont="1" applyFill="1" applyBorder="1"/>
    <xf numFmtId="167" fontId="5" fillId="0" borderId="20" xfId="1" applyNumberFormat="1" applyFont="1" applyFill="1" applyBorder="1" applyAlignment="1">
      <alignment horizontal="right" wrapText="1"/>
    </xf>
    <xf numFmtId="167" fontId="30" fillId="0" borderId="8" xfId="1" applyNumberFormat="1" applyFont="1" applyFill="1" applyBorder="1"/>
    <xf numFmtId="167" fontId="5" fillId="0" borderId="8" xfId="1" applyNumberFormat="1" applyFont="1" applyFill="1" applyBorder="1" applyAlignment="1">
      <alignment horizontal="right" wrapText="1"/>
    </xf>
    <xf numFmtId="167" fontId="30" fillId="0" borderId="7" xfId="1" applyNumberFormat="1" applyFont="1" applyFill="1" applyBorder="1" applyAlignment="1">
      <alignment horizontal="right" wrapText="1"/>
    </xf>
    <xf numFmtId="167" fontId="30" fillId="0" borderId="5" xfId="1" applyNumberFormat="1" applyFont="1" applyFill="1" applyBorder="1"/>
    <xf numFmtId="167" fontId="3" fillId="0" borderId="0" xfId="1" applyNumberFormat="1" applyFont="1" applyFill="1" applyBorder="1" applyAlignment="1">
      <alignment horizontal="left" wrapText="1"/>
    </xf>
    <xf numFmtId="167" fontId="0" fillId="0" borderId="19" xfId="0" applyNumberFormat="1" applyBorder="1"/>
    <xf numFmtId="167" fontId="0" fillId="0" borderId="1" xfId="1" applyNumberFormat="1" applyFont="1" applyBorder="1"/>
    <xf numFmtId="0" fontId="4" fillId="0" borderId="13" xfId="0" applyFont="1" applyBorder="1" applyAlignment="1">
      <alignment horizontal="left" wrapText="1"/>
    </xf>
    <xf numFmtId="167" fontId="0" fillId="0" borderId="14" xfId="1" applyNumberFormat="1" applyFont="1" applyBorder="1"/>
    <xf numFmtId="0" fontId="4" fillId="0" borderId="15" xfId="0" applyFont="1" applyBorder="1" applyAlignment="1">
      <alignment horizontal="left" wrapText="1"/>
    </xf>
    <xf numFmtId="167" fontId="0" fillId="0" borderId="16" xfId="1" applyNumberFormat="1" applyFont="1" applyBorder="1"/>
    <xf numFmtId="0" fontId="4" fillId="0" borderId="15" xfId="0" applyFont="1" applyBorder="1" applyAlignment="1">
      <alignment horizontal="left" vertical="top" wrapText="1"/>
    </xf>
    <xf numFmtId="167" fontId="4" fillId="0" borderId="17" xfId="1" applyNumberFormat="1" applyFont="1" applyFill="1" applyBorder="1" applyAlignment="1">
      <alignment horizontal="right" wrapText="1"/>
    </xf>
    <xf numFmtId="167" fontId="0" fillId="0" borderId="22" xfId="1" applyNumberFormat="1" applyFont="1" applyBorder="1"/>
    <xf numFmtId="167" fontId="4" fillId="0" borderId="13" xfId="1" applyNumberFormat="1" applyFont="1" applyFill="1" applyBorder="1" applyAlignment="1">
      <alignment wrapText="1"/>
    </xf>
    <xf numFmtId="167" fontId="0" fillId="0" borderId="14" xfId="1" applyNumberFormat="1" applyFont="1" applyFill="1" applyBorder="1"/>
    <xf numFmtId="0" fontId="4" fillId="0" borderId="15" xfId="0" applyFont="1" applyBorder="1" applyAlignment="1">
      <alignment wrapText="1"/>
    </xf>
    <xf numFmtId="167" fontId="4" fillId="0" borderId="15" xfId="1" applyNumberFormat="1" applyFont="1" applyFill="1" applyBorder="1" applyAlignment="1">
      <alignment wrapText="1"/>
    </xf>
    <xf numFmtId="167" fontId="0" fillId="0" borderId="22" xfId="0" applyNumberFormat="1" applyBorder="1"/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2" fillId="0" borderId="26" xfId="0" applyFont="1" applyBorder="1" applyAlignment="1">
      <alignment horizontal="center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8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15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Y55"/>
  <sheetViews>
    <sheetView topLeftCell="B7" zoomScale="120" zoomScaleNormal="120" workbookViewId="0">
      <pane xSplit="3" ySplit="2" topLeftCell="L9" activePane="bottomRight" state="frozen"/>
      <selection activeCell="B7" sqref="B7"/>
      <selection pane="topRight" activeCell="E7" sqref="E7"/>
      <selection pane="bottomLeft" activeCell="B9" sqref="B9"/>
      <selection pane="bottomRight" activeCell="B21" sqref="B21"/>
    </sheetView>
  </sheetViews>
  <sheetFormatPr defaultColWidth="9.140625" defaultRowHeight="15" x14ac:dyDescent="0.25"/>
  <cols>
    <col min="1" max="1" width="3.5703125" style="22" hidden="1" customWidth="1"/>
    <col min="2" max="2" width="25.7109375" style="22" customWidth="1"/>
    <col min="3" max="3" width="14.85546875" style="22" customWidth="1"/>
    <col min="4" max="4" width="19.42578125" style="22" customWidth="1"/>
    <col min="5" max="5" width="12.5703125" style="22" customWidth="1"/>
    <col min="6" max="6" width="11.28515625" style="22" customWidth="1"/>
    <col min="7" max="7" width="13.28515625" style="22" customWidth="1"/>
    <col min="8" max="8" width="12" style="22" customWidth="1"/>
    <col min="9" max="9" width="10.5703125" style="22" bestFit="1" customWidth="1"/>
    <col min="10" max="10" width="13.85546875" style="22" customWidth="1"/>
    <col min="11" max="15" width="11.28515625" style="22" customWidth="1"/>
    <col min="16" max="16" width="10.42578125" style="22" customWidth="1"/>
    <col min="17" max="17" width="1.28515625" style="22" customWidth="1"/>
    <col min="18" max="18" width="1.42578125" style="22" customWidth="1"/>
    <col min="19" max="23" width="15.7109375" style="22" customWidth="1"/>
    <col min="24" max="24" width="21.7109375" style="22" bestFit="1" customWidth="1"/>
    <col min="25" max="25" width="19.42578125" style="22" bestFit="1" customWidth="1"/>
    <col min="26" max="16384" width="9.140625" style="22"/>
  </cols>
  <sheetData>
    <row r="1" spans="1:25" s="37" customFormat="1" ht="26.25" customHeight="1" x14ac:dyDescent="0.2">
      <c r="A1" s="263" t="s">
        <v>135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25" s="37" customFormat="1" ht="26.25" customHeight="1" x14ac:dyDescent="0.2">
      <c r="A2" s="263" t="s">
        <v>136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</row>
    <row r="3" spans="1:25" s="37" customFormat="1" ht="26.25" x14ac:dyDescent="0.4">
      <c r="A3" s="264" t="s">
        <v>151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25" s="37" customFormat="1" ht="26.25" x14ac:dyDescent="0.4">
      <c r="A4" s="264" t="s">
        <v>152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</row>
    <row r="5" spans="1:25" s="37" customFormat="1" ht="26.25" x14ac:dyDescent="0.2">
      <c r="A5" s="265" t="s">
        <v>137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</row>
    <row r="6" spans="1:25" s="37" customFormat="1" ht="27.7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22"/>
      <c r="K6" s="22"/>
      <c r="L6" s="22"/>
      <c r="M6" s="22"/>
      <c r="N6" s="22"/>
      <c r="O6" s="22"/>
      <c r="P6" s="22"/>
    </row>
    <row r="7" spans="1:25" s="37" customFormat="1" x14ac:dyDescent="0.25">
      <c r="A7" s="22"/>
      <c r="B7" s="22"/>
      <c r="C7" s="22"/>
      <c r="D7" s="22"/>
      <c r="H7" s="39"/>
      <c r="I7" s="22"/>
      <c r="J7" s="22"/>
      <c r="K7" s="22"/>
      <c r="L7" s="22"/>
      <c r="M7" s="22"/>
      <c r="N7" s="22"/>
      <c r="O7" s="22"/>
      <c r="P7" s="22"/>
    </row>
    <row r="8" spans="1:25" s="37" customFormat="1" ht="45" customHeight="1" x14ac:dyDescent="0.25">
      <c r="A8" s="22"/>
      <c r="B8" s="22"/>
      <c r="C8" s="22"/>
      <c r="D8" s="22"/>
      <c r="E8" s="40" t="s">
        <v>153</v>
      </c>
      <c r="F8" s="40" t="s">
        <v>154</v>
      </c>
      <c r="G8" s="40" t="s">
        <v>155</v>
      </c>
      <c r="H8" s="40" t="s">
        <v>156</v>
      </c>
      <c r="I8" s="40" t="s">
        <v>157</v>
      </c>
      <c r="J8" s="40" t="s">
        <v>158</v>
      </c>
      <c r="K8" s="40" t="s">
        <v>159</v>
      </c>
      <c r="L8" s="40" t="s">
        <v>160</v>
      </c>
      <c r="M8" s="40" t="s">
        <v>161</v>
      </c>
      <c r="N8" s="40" t="s">
        <v>184</v>
      </c>
      <c r="O8" s="40" t="s">
        <v>205</v>
      </c>
      <c r="P8" s="41" t="s">
        <v>206</v>
      </c>
      <c r="Q8" s="42"/>
    </row>
    <row r="9" spans="1:25" s="37" customFormat="1" ht="23.25" x14ac:dyDescent="0.35">
      <c r="A9" s="22"/>
      <c r="B9" s="43" t="s">
        <v>162</v>
      </c>
      <c r="C9" s="22"/>
      <c r="D9" s="22"/>
      <c r="E9" s="44"/>
      <c r="F9" s="44"/>
      <c r="G9" s="44"/>
      <c r="H9" s="44"/>
      <c r="I9" s="44"/>
      <c r="J9" s="44"/>
      <c r="K9" s="44"/>
      <c r="L9" s="44"/>
      <c r="M9" s="22"/>
      <c r="N9" s="22"/>
      <c r="O9" s="22"/>
      <c r="P9" s="45"/>
      <c r="Q9" s="46"/>
    </row>
    <row r="10" spans="1:25" s="37" customFormat="1" x14ac:dyDescent="0.25">
      <c r="A10" s="22"/>
      <c r="B10" s="22"/>
      <c r="C10" s="22"/>
      <c r="D10" s="22"/>
      <c r="E10" s="47"/>
      <c r="F10" s="44"/>
      <c r="G10" s="44"/>
      <c r="H10" s="44"/>
      <c r="I10" s="44"/>
      <c r="J10" s="44"/>
      <c r="K10" s="44"/>
      <c r="L10" s="44"/>
      <c r="M10" s="48"/>
      <c r="N10" s="48"/>
      <c r="O10" s="48"/>
      <c r="P10" s="49"/>
      <c r="Q10" s="46"/>
    </row>
    <row r="11" spans="1:25" s="37" customFormat="1" ht="18" customHeight="1" x14ac:dyDescent="0.3">
      <c r="B11" s="50" t="s">
        <v>163</v>
      </c>
      <c r="D11" s="51"/>
      <c r="E11" s="52">
        <f>+C47/10^6</f>
        <v>6.7799264599999995</v>
      </c>
      <c r="F11" s="52">
        <f t="shared" ref="F11:L11" si="0">+E17</f>
        <v>7.355995029999999</v>
      </c>
      <c r="G11" s="52">
        <f t="shared" si="0"/>
        <v>8.8975125699999982</v>
      </c>
      <c r="H11" s="52">
        <f t="shared" si="0"/>
        <v>8.4806887299999989</v>
      </c>
      <c r="I11" s="52">
        <f t="shared" si="0"/>
        <v>8.3226854699999997</v>
      </c>
      <c r="J11" s="52">
        <f t="shared" si="0"/>
        <v>10.52460597</v>
      </c>
      <c r="K11" s="52">
        <f t="shared" si="0"/>
        <v>10.89581907</v>
      </c>
      <c r="L11" s="52">
        <f t="shared" si="0"/>
        <v>10.945213580000001</v>
      </c>
      <c r="M11" s="52">
        <f>+L17</f>
        <v>10.479769140000002</v>
      </c>
      <c r="N11" s="52">
        <f>+M17</f>
        <v>14.680762140000001</v>
      </c>
      <c r="O11" s="52">
        <f>+N17</f>
        <v>12.921371140000002</v>
      </c>
      <c r="P11" s="53">
        <f>+E11</f>
        <v>6.7799264599999995</v>
      </c>
      <c r="Q11" s="46"/>
    </row>
    <row r="12" spans="1:25" s="37" customFormat="1" ht="18" customHeight="1" x14ac:dyDescent="0.3">
      <c r="B12" s="50" t="s">
        <v>164</v>
      </c>
      <c r="D12" s="51"/>
      <c r="E12" s="52">
        <f>+C48/10^6</f>
        <v>0.83821375999999992</v>
      </c>
      <c r="F12" s="52">
        <f t="shared" ref="F12:K15" si="1">+D48/10^6</f>
        <v>1.1313998599999999</v>
      </c>
      <c r="G12" s="52">
        <f t="shared" si="1"/>
        <v>0.65697110000000014</v>
      </c>
      <c r="H12" s="52">
        <f t="shared" si="1"/>
        <v>1.3064777299999999</v>
      </c>
      <c r="I12" s="52">
        <f t="shared" si="1"/>
        <v>2.0766917600000001</v>
      </c>
      <c r="J12" s="52">
        <f t="shared" si="1"/>
        <v>1.0590322000000001</v>
      </c>
      <c r="K12" s="52">
        <f t="shared" si="1"/>
        <v>1.23016897</v>
      </c>
      <c r="L12" s="52">
        <f>+'[1]Summary of Activities Report'!$E$46/10^6</f>
        <v>0.96984260999999983</v>
      </c>
      <c r="M12" s="52">
        <f>3008866/10^6</f>
        <v>3.0088659999999998</v>
      </c>
      <c r="N12" s="52">
        <f>2573997/10^6</f>
        <v>2.5739969999999999</v>
      </c>
      <c r="O12" s="52">
        <f>1468065/10^6</f>
        <v>1.468065</v>
      </c>
      <c r="P12" s="53">
        <f>SUM(E12:O12)</f>
        <v>16.319725989999998</v>
      </c>
      <c r="Q12" s="46"/>
    </row>
    <row r="13" spans="1:25" s="37" customFormat="1" ht="18" customHeight="1" x14ac:dyDescent="0.3">
      <c r="B13" s="50" t="s">
        <v>165</v>
      </c>
      <c r="D13" s="51"/>
      <c r="E13" s="52">
        <f>+C49/10^6</f>
        <v>-0.94829133999999993</v>
      </c>
      <c r="F13" s="52">
        <f t="shared" si="1"/>
        <v>-0.81162242999999989</v>
      </c>
      <c r="G13" s="52">
        <f t="shared" si="1"/>
        <v>-1.09932192</v>
      </c>
      <c r="H13" s="52">
        <f t="shared" si="1"/>
        <v>-1.27069422</v>
      </c>
      <c r="I13" s="52">
        <f t="shared" si="1"/>
        <v>-0.94343860000000002</v>
      </c>
      <c r="J13" s="52">
        <f t="shared" si="1"/>
        <v>-1.4037089900000002</v>
      </c>
      <c r="K13" s="52">
        <f t="shared" si="1"/>
        <v>-1.5125359199999999</v>
      </c>
      <c r="L13" s="52">
        <f>+'[1]Summary of Activities Report'!$F$46/10^6</f>
        <v>-1.3504425</v>
      </c>
      <c r="M13" s="52">
        <f>-1406567/10^6</f>
        <v>-1.4065669999999999</v>
      </c>
      <c r="N13" s="52">
        <f>-1616209/10^6</f>
        <v>-1.616209</v>
      </c>
      <c r="O13" s="52">
        <f>-1428340/10^6</f>
        <v>-1.4283399999999999</v>
      </c>
      <c r="P13" s="53">
        <f t="shared" ref="P13:P15" si="2">SUM(E13:O13)</f>
        <v>-13.79117192</v>
      </c>
      <c r="Q13" s="46"/>
      <c r="X13" s="37" t="s">
        <v>166</v>
      </c>
    </row>
    <row r="14" spans="1:25" s="37" customFormat="1" ht="18" customHeight="1" x14ac:dyDescent="0.3">
      <c r="B14" s="50" t="s">
        <v>167</v>
      </c>
      <c r="D14" s="51"/>
      <c r="E14" s="52">
        <f>+C50/10^6</f>
        <v>0.75534582000000006</v>
      </c>
      <c r="F14" s="52">
        <f t="shared" si="1"/>
        <v>1.3001116499999998</v>
      </c>
      <c r="G14" s="52">
        <f t="shared" si="1"/>
        <v>0.11003288000000006</v>
      </c>
      <c r="H14" s="52">
        <f t="shared" si="1"/>
        <v>-0.11325913000000001</v>
      </c>
      <c r="I14" s="52">
        <f t="shared" si="1"/>
        <v>1.1585334100000002</v>
      </c>
      <c r="J14" s="52">
        <f t="shared" si="1"/>
        <v>0.82240797000000032</v>
      </c>
      <c r="K14" s="52">
        <f t="shared" si="1"/>
        <v>0.43931713000000006</v>
      </c>
      <c r="L14" s="52">
        <f>+'[1]Summary of Activities Report'!$G$47/10^6</f>
        <v>4.5046309999999999E-2</v>
      </c>
      <c r="M14" s="52">
        <f>(2715821)/10^6</f>
        <v>2.715821</v>
      </c>
      <c r="N14" s="52">
        <f>+(332282-2898796)/10^6</f>
        <v>-2.5665140000000002</v>
      </c>
      <c r="O14" s="52">
        <f>+(255597+1243934)/10^6</f>
        <v>1.4995309999999999</v>
      </c>
      <c r="P14" s="53">
        <f t="shared" si="2"/>
        <v>6.16637404</v>
      </c>
      <c r="Q14" s="46"/>
    </row>
    <row r="15" spans="1:25" s="37" customFormat="1" ht="18" customHeight="1" x14ac:dyDescent="0.3">
      <c r="B15" s="50" t="s">
        <v>168</v>
      </c>
      <c r="D15" s="51"/>
      <c r="E15" s="54">
        <f>+C51/10^6</f>
        <v>-6.9199670000000019E-2</v>
      </c>
      <c r="F15" s="54">
        <f t="shared" si="1"/>
        <v>-7.8371540000000031E-2</v>
      </c>
      <c r="G15" s="54">
        <f t="shared" si="1"/>
        <v>-8.4505899999999995E-2</v>
      </c>
      <c r="H15" s="54">
        <f t="shared" si="1"/>
        <v>-8.0527640000000011E-2</v>
      </c>
      <c r="I15" s="54">
        <f t="shared" si="1"/>
        <v>-8.9866070000000034E-2</v>
      </c>
      <c r="J15" s="54">
        <f t="shared" si="1"/>
        <v>-0.10651808000000003</v>
      </c>
      <c r="K15" s="54">
        <f t="shared" si="1"/>
        <v>-0.10755566999999999</v>
      </c>
      <c r="L15" s="54">
        <f>+'[1]Summary of Activities Report'!$H$46/10^6</f>
        <v>-0.12989086</v>
      </c>
      <c r="M15" s="55">
        <f>-117127/10^6</f>
        <v>-0.117127</v>
      </c>
      <c r="N15" s="54">
        <f>-150665/10^6</f>
        <v>-0.15066499999999999</v>
      </c>
      <c r="O15" s="54">
        <f>-134056/10^6</f>
        <v>-0.13405600000000001</v>
      </c>
      <c r="P15" s="98">
        <f t="shared" si="2"/>
        <v>-1.1482834300000002</v>
      </c>
      <c r="Q15" s="56"/>
      <c r="Y15" s="57">
        <v>-1242047.3999999999</v>
      </c>
    </row>
    <row r="16" spans="1:25" s="37" customFormat="1" ht="18" customHeight="1" x14ac:dyDescent="0.3">
      <c r="B16" s="50"/>
      <c r="D16" s="51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3"/>
      <c r="Q16" s="46"/>
      <c r="W16" s="37" t="s">
        <v>73</v>
      </c>
      <c r="X16" s="59">
        <v>1638838.98</v>
      </c>
    </row>
    <row r="17" spans="1:25" s="37" customFormat="1" ht="19.5" thickBot="1" x14ac:dyDescent="0.35">
      <c r="B17" s="50" t="s">
        <v>169</v>
      </c>
      <c r="D17" s="51"/>
      <c r="E17" s="60">
        <f t="shared" ref="E17:N17" si="3">SUM(E11:E15)</f>
        <v>7.355995029999999</v>
      </c>
      <c r="F17" s="60">
        <f t="shared" si="3"/>
        <v>8.8975125699999982</v>
      </c>
      <c r="G17" s="60">
        <f t="shared" si="3"/>
        <v>8.4806887299999989</v>
      </c>
      <c r="H17" s="60">
        <f t="shared" si="3"/>
        <v>8.3226854699999997</v>
      </c>
      <c r="I17" s="60">
        <f t="shared" si="3"/>
        <v>10.52460597</v>
      </c>
      <c r="J17" s="60">
        <f t="shared" si="3"/>
        <v>10.89581907</v>
      </c>
      <c r="K17" s="60">
        <f t="shared" si="3"/>
        <v>10.945213580000001</v>
      </c>
      <c r="L17" s="60">
        <f t="shared" si="3"/>
        <v>10.479769140000002</v>
      </c>
      <c r="M17" s="60">
        <f t="shared" si="3"/>
        <v>14.680762140000001</v>
      </c>
      <c r="N17" s="60">
        <f t="shared" si="3"/>
        <v>12.921371140000002</v>
      </c>
      <c r="O17" s="60">
        <f t="shared" ref="O17" si="4">SUM(O11:O15)</f>
        <v>14.32657114</v>
      </c>
      <c r="P17" s="61">
        <f>SUM(P11:P15)</f>
        <v>14.326571139999999</v>
      </c>
      <c r="Q17" s="62"/>
      <c r="W17" s="37" t="s">
        <v>72</v>
      </c>
      <c r="X17" s="59"/>
    </row>
    <row r="18" spans="1:25" s="37" customFormat="1" ht="12.75" customHeight="1" thickTop="1" x14ac:dyDescent="0.3">
      <c r="A18" s="51"/>
      <c r="B18" s="51"/>
      <c r="D18" s="51"/>
      <c r="F18" s="22"/>
      <c r="G18" s="22"/>
      <c r="H18" s="22"/>
      <c r="I18" s="52"/>
      <c r="J18" s="22"/>
      <c r="K18" s="63"/>
      <c r="L18" s="63"/>
      <c r="M18" s="22"/>
      <c r="N18" s="22"/>
      <c r="O18" s="22"/>
      <c r="P18" s="64"/>
      <c r="Q18" s="56"/>
      <c r="W18" s="65" t="s">
        <v>71</v>
      </c>
      <c r="X18" s="59">
        <v>297559.17</v>
      </c>
      <c r="Y18" s="66">
        <f>+X18+X20</f>
        <v>2009430.2699999998</v>
      </c>
    </row>
    <row r="19" spans="1:25" s="37" customFormat="1" ht="18.75" x14ac:dyDescent="0.3">
      <c r="B19" s="6"/>
      <c r="D19" s="22"/>
      <c r="E19" s="52">
        <f>+E14+E15</f>
        <v>0.68614615000000001</v>
      </c>
      <c r="F19" s="52">
        <f t="shared" ref="F19:M19" si="5">+F14+F15</f>
        <v>1.2217401099999998</v>
      </c>
      <c r="G19" s="52">
        <f t="shared" si="5"/>
        <v>2.552698000000006E-2</v>
      </c>
      <c r="H19" s="52">
        <f t="shared" si="5"/>
        <v>-0.19378677000000002</v>
      </c>
      <c r="I19" s="52">
        <f t="shared" si="5"/>
        <v>1.0686673400000002</v>
      </c>
      <c r="J19" s="52">
        <f t="shared" si="5"/>
        <v>0.71588989000000025</v>
      </c>
      <c r="K19" s="52">
        <f t="shared" si="5"/>
        <v>0.33176146000000006</v>
      </c>
      <c r="L19" s="52">
        <f t="shared" si="5"/>
        <v>-8.4844549999999991E-2</v>
      </c>
      <c r="M19" s="52">
        <f t="shared" si="5"/>
        <v>2.5986940000000001</v>
      </c>
      <c r="N19" s="52">
        <f t="shared" ref="N19:O19" si="6">+N14+N15</f>
        <v>-2.7171790000000002</v>
      </c>
      <c r="O19" s="52">
        <f t="shared" si="6"/>
        <v>1.365475</v>
      </c>
      <c r="P19" s="52"/>
      <c r="W19" s="65" t="s">
        <v>170</v>
      </c>
      <c r="X19" s="59">
        <v>-75</v>
      </c>
    </row>
    <row r="20" spans="1:25" s="37" customFormat="1" ht="18.75" x14ac:dyDescent="0.3">
      <c r="B20" s="6"/>
      <c r="D20" s="22"/>
      <c r="E20" s="67">
        <f>+E19/E17</f>
        <v>9.3277136159239646E-2</v>
      </c>
      <c r="F20" s="67">
        <f t="shared" ref="F20:M20" si="7">+F19/F17</f>
        <v>0.13731254666831003</v>
      </c>
      <c r="G20" s="67">
        <f t="shared" si="7"/>
        <v>3.0100126077849888E-3</v>
      </c>
      <c r="H20" s="67">
        <f t="shared" si="7"/>
        <v>-2.3284163591009769E-2</v>
      </c>
      <c r="I20" s="67">
        <f t="shared" si="7"/>
        <v>0.10153989071383736</v>
      </c>
      <c r="J20" s="67">
        <f t="shared" si="7"/>
        <v>6.5703173428337799E-2</v>
      </c>
      <c r="K20" s="67">
        <f t="shared" si="7"/>
        <v>3.0311099694410901E-2</v>
      </c>
      <c r="L20" s="67">
        <f t="shared" si="7"/>
        <v>-8.0960323521019825E-3</v>
      </c>
      <c r="M20" s="67">
        <f t="shared" si="7"/>
        <v>0.17701356204930652</v>
      </c>
      <c r="N20" s="67">
        <f t="shared" ref="N20:O20" si="8">+N19/N17</f>
        <v>-0.21028565548965417</v>
      </c>
      <c r="O20" s="67">
        <f t="shared" si="8"/>
        <v>9.5310663427871686E-2</v>
      </c>
      <c r="P20" s="67"/>
      <c r="W20" s="37" t="s">
        <v>70</v>
      </c>
      <c r="X20" s="59">
        <v>1711871.0999999999</v>
      </c>
    </row>
    <row r="21" spans="1:25" s="37" customFormat="1" ht="18.75" customHeight="1" x14ac:dyDescent="0.25">
      <c r="A21" s="22"/>
      <c r="B21" s="68" t="s">
        <v>171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W21" s="37" t="s">
        <v>69</v>
      </c>
      <c r="X21" s="59">
        <v>-85190.720000000001</v>
      </c>
    </row>
    <row r="22" spans="1:25" ht="18.75" x14ac:dyDescent="0.3">
      <c r="A22" s="69"/>
      <c r="B22" s="70"/>
      <c r="W22" s="22" t="s">
        <v>67</v>
      </c>
      <c r="X22" s="57"/>
    </row>
    <row r="23" spans="1:25" ht="24" thickBot="1" x14ac:dyDescent="0.4">
      <c r="A23" s="69"/>
      <c r="B23" s="43" t="s">
        <v>172</v>
      </c>
      <c r="E23" s="71">
        <v>69</v>
      </c>
      <c r="F23" s="71">
        <v>77</v>
      </c>
      <c r="G23" s="71">
        <v>89</v>
      </c>
      <c r="H23" s="71">
        <v>103</v>
      </c>
      <c r="I23" s="71">
        <v>119</v>
      </c>
      <c r="J23" s="71">
        <v>122</v>
      </c>
      <c r="K23" s="71">
        <v>122</v>
      </c>
      <c r="L23" s="71">
        <v>121</v>
      </c>
      <c r="M23" s="71">
        <f>+L23</f>
        <v>121</v>
      </c>
      <c r="N23" s="71">
        <f>30+74+11+24</f>
        <v>139</v>
      </c>
      <c r="O23" s="71">
        <v>151</v>
      </c>
      <c r="P23" s="71"/>
      <c r="W23" s="22" t="s">
        <v>66</v>
      </c>
      <c r="X23" s="57"/>
    </row>
    <row r="24" spans="1:25" ht="15.75" thickTop="1" x14ac:dyDescent="0.25">
      <c r="W24" s="22" t="s">
        <v>65</v>
      </c>
    </row>
    <row r="25" spans="1:25" x14ac:dyDescent="0.25">
      <c r="B25" s="37"/>
      <c r="X25" s="57">
        <v>2320956.13</v>
      </c>
    </row>
    <row r="26" spans="1:25" x14ac:dyDescent="0.25">
      <c r="B26" s="37"/>
      <c r="X26" s="57"/>
    </row>
    <row r="27" spans="1:25" x14ac:dyDescent="0.25">
      <c r="B27" s="37"/>
      <c r="X27" s="57"/>
    </row>
    <row r="28" spans="1:25" x14ac:dyDescent="0.25">
      <c r="B28" s="37"/>
      <c r="X28" s="57"/>
    </row>
    <row r="29" spans="1:25" x14ac:dyDescent="0.25">
      <c r="B29" s="37"/>
      <c r="X29" s="57"/>
    </row>
    <row r="30" spans="1:25" x14ac:dyDescent="0.25">
      <c r="B30" s="37"/>
      <c r="X30" s="57"/>
    </row>
    <row r="31" spans="1:25" x14ac:dyDescent="0.25">
      <c r="B31" s="37"/>
      <c r="X31" s="57"/>
    </row>
    <row r="32" spans="1:25" x14ac:dyDescent="0.25">
      <c r="B32" s="37"/>
      <c r="X32" s="57"/>
    </row>
    <row r="33" spans="2:24" x14ac:dyDescent="0.25">
      <c r="B33" s="37"/>
      <c r="X33" s="57"/>
    </row>
    <row r="34" spans="2:24" x14ac:dyDescent="0.25">
      <c r="B34" s="37"/>
      <c r="X34" s="57"/>
    </row>
    <row r="35" spans="2:24" x14ac:dyDescent="0.25">
      <c r="B35" s="37"/>
      <c r="X35" s="57"/>
    </row>
    <row r="36" spans="2:24" x14ac:dyDescent="0.25">
      <c r="B36" s="37"/>
      <c r="X36" s="57"/>
    </row>
    <row r="37" spans="2:24" x14ac:dyDescent="0.25">
      <c r="B37" s="37"/>
      <c r="X37" s="57"/>
    </row>
    <row r="38" spans="2:24" x14ac:dyDescent="0.25">
      <c r="B38" s="37"/>
      <c r="X38" s="57"/>
    </row>
    <row r="39" spans="2:24" x14ac:dyDescent="0.25">
      <c r="B39" s="37"/>
      <c r="X39" s="57"/>
    </row>
    <row r="40" spans="2:24" x14ac:dyDescent="0.25">
      <c r="B40" s="37"/>
      <c r="X40" s="57"/>
    </row>
    <row r="41" spans="2:24" x14ac:dyDescent="0.25">
      <c r="X41" s="57"/>
    </row>
    <row r="43" spans="2:24" x14ac:dyDescent="0.25">
      <c r="B43" s="75" t="s">
        <v>173</v>
      </c>
      <c r="C43" s="72" t="s">
        <v>174</v>
      </c>
      <c r="D43"/>
      <c r="E43"/>
      <c r="F43"/>
      <c r="G43"/>
      <c r="H43"/>
      <c r="I43"/>
      <c r="J43"/>
    </row>
    <row r="44" spans="2:24" x14ac:dyDescent="0.25">
      <c r="B44"/>
      <c r="C44"/>
      <c r="D44"/>
      <c r="E44"/>
      <c r="F44"/>
      <c r="G44"/>
      <c r="H44"/>
      <c r="I44"/>
      <c r="J44"/>
    </row>
    <row r="45" spans="2:24" x14ac:dyDescent="0.25">
      <c r="B45" s="72"/>
      <c r="C45" s="75" t="s">
        <v>175</v>
      </c>
      <c r="D45" s="72"/>
      <c r="E45" s="72"/>
      <c r="F45" s="72"/>
      <c r="G45" s="72"/>
      <c r="H45" s="72"/>
      <c r="I45" s="72"/>
      <c r="J45" s="72"/>
    </row>
    <row r="46" spans="2:24" x14ac:dyDescent="0.25">
      <c r="B46" s="75" t="s">
        <v>176</v>
      </c>
      <c r="C46" s="72">
        <v>13</v>
      </c>
      <c r="D46" s="72">
        <v>14</v>
      </c>
      <c r="E46" s="72">
        <v>15</v>
      </c>
      <c r="F46" s="72">
        <v>16</v>
      </c>
      <c r="G46" s="72">
        <v>17</v>
      </c>
      <c r="H46" s="72">
        <v>18</v>
      </c>
      <c r="I46" s="72">
        <v>19</v>
      </c>
      <c r="J46" s="72" t="s">
        <v>177</v>
      </c>
    </row>
    <row r="47" spans="2:24" x14ac:dyDescent="0.25">
      <c r="B47" s="73" t="s">
        <v>178</v>
      </c>
      <c r="C47" s="73">
        <v>6779926.46</v>
      </c>
      <c r="D47" s="73">
        <v>7355995.04</v>
      </c>
      <c r="E47" s="73">
        <v>8897512.5799999945</v>
      </c>
      <c r="F47" s="74">
        <v>8480688.7400000002</v>
      </c>
      <c r="G47" s="73">
        <v>8322685.4800000004</v>
      </c>
      <c r="H47" s="73">
        <v>10524606.049999999</v>
      </c>
      <c r="I47" s="73">
        <v>10895819.149999999</v>
      </c>
      <c r="J47" s="73">
        <v>61257233.499999993</v>
      </c>
    </row>
    <row r="48" spans="2:24" x14ac:dyDescent="0.25">
      <c r="B48" s="73" t="s">
        <v>179</v>
      </c>
      <c r="C48" s="73">
        <v>838213.75999999989</v>
      </c>
      <c r="D48" s="73">
        <v>1131399.8599999999</v>
      </c>
      <c r="E48" s="73">
        <v>656971.10000000009</v>
      </c>
      <c r="F48" s="74">
        <v>1306477.73</v>
      </c>
      <c r="G48" s="73">
        <v>2076691.76</v>
      </c>
      <c r="H48" s="73">
        <v>1059032.2000000002</v>
      </c>
      <c r="I48" s="73">
        <v>1230168.97</v>
      </c>
      <c r="J48" s="73">
        <v>8298955.3799999999</v>
      </c>
    </row>
    <row r="49" spans="2:10" x14ac:dyDescent="0.25">
      <c r="B49" s="73" t="s">
        <v>180</v>
      </c>
      <c r="C49" s="73">
        <v>-948291.34</v>
      </c>
      <c r="D49" s="73">
        <v>-811622.42999999993</v>
      </c>
      <c r="E49" s="73">
        <v>-1099321.92</v>
      </c>
      <c r="F49" s="74">
        <v>-1270694.22</v>
      </c>
      <c r="G49" s="73">
        <v>-943438.6</v>
      </c>
      <c r="H49" s="73">
        <v>-1403708.9900000002</v>
      </c>
      <c r="I49" s="73">
        <v>-1512535.92</v>
      </c>
      <c r="J49" s="73">
        <v>-7989613.4199999999</v>
      </c>
    </row>
    <row r="50" spans="2:10" x14ac:dyDescent="0.25">
      <c r="B50" s="73" t="s">
        <v>181</v>
      </c>
      <c r="C50" s="73">
        <v>755345.82000000007</v>
      </c>
      <c r="D50" s="73">
        <v>1300111.6499999999</v>
      </c>
      <c r="E50" s="73">
        <v>110032.88000000005</v>
      </c>
      <c r="F50" s="74">
        <v>-113259.13000000002</v>
      </c>
      <c r="G50" s="73">
        <v>1158533.4100000001</v>
      </c>
      <c r="H50" s="73">
        <v>822407.97000000032</v>
      </c>
      <c r="I50" s="73">
        <v>439317.13000000006</v>
      </c>
      <c r="J50" s="73">
        <v>4472489.7300000004</v>
      </c>
    </row>
    <row r="51" spans="2:10" x14ac:dyDescent="0.25">
      <c r="B51" s="73" t="s">
        <v>182</v>
      </c>
      <c r="C51" s="73">
        <v>-69199.670000000013</v>
      </c>
      <c r="D51" s="73">
        <v>-78371.540000000037</v>
      </c>
      <c r="E51" s="73">
        <v>-84505.9</v>
      </c>
      <c r="F51" s="74">
        <v>-80527.640000000014</v>
      </c>
      <c r="G51" s="73">
        <v>-89866.070000000036</v>
      </c>
      <c r="H51" s="73">
        <v>-106518.08000000003</v>
      </c>
      <c r="I51" s="73">
        <v>-107555.67</v>
      </c>
      <c r="J51" s="73">
        <v>-616544.57000000007</v>
      </c>
    </row>
    <row r="52" spans="2:10" x14ac:dyDescent="0.25">
      <c r="B52" s="73" t="s">
        <v>183</v>
      </c>
      <c r="C52" s="73">
        <v>7355995.04</v>
      </c>
      <c r="D52" s="73">
        <v>8897512.5799999945</v>
      </c>
      <c r="E52" s="73">
        <v>8480688.7400000002</v>
      </c>
      <c r="F52" s="74">
        <v>8322685.4800000004</v>
      </c>
      <c r="G52" s="73">
        <v>10524606.049999999</v>
      </c>
      <c r="H52" s="73">
        <v>10895819.15</v>
      </c>
      <c r="I52" s="73">
        <v>10945213.660000002</v>
      </c>
      <c r="J52" s="73">
        <v>65422520.699999996</v>
      </c>
    </row>
    <row r="53" spans="2:10" x14ac:dyDescent="0.25">
      <c r="B53"/>
      <c r="C53"/>
      <c r="D53"/>
      <c r="E53"/>
      <c r="F53" s="73"/>
      <c r="G53"/>
      <c r="H53"/>
      <c r="I53"/>
      <c r="J53"/>
    </row>
    <row r="54" spans="2:10" x14ac:dyDescent="0.25">
      <c r="I54" s="22" t="e">
        <f>+GETPIVOTDATA("Sum of Beginning Balance",'[2]SOA Jul19_Apr20'!$D$134)</f>
        <v>#REF!</v>
      </c>
    </row>
    <row r="55" spans="2:10" x14ac:dyDescent="0.25">
      <c r="I55" s="22" t="e">
        <f>+I54-GETPIVOTDATA("Sum of Ending Balance",$B$45,"FY",19)</f>
        <v>#REF!</v>
      </c>
    </row>
  </sheetData>
  <mergeCells count="5">
    <mergeCell ref="A1:P1"/>
    <mergeCell ref="A2:P2"/>
    <mergeCell ref="A3:P3"/>
    <mergeCell ref="A4:P4"/>
    <mergeCell ref="A5:P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B44"/>
  <sheetViews>
    <sheetView zoomScale="130" zoomScaleNormal="130" workbookViewId="0">
      <selection activeCell="C14" sqref="C14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11" width="10.28515625" style="6" customWidth="1"/>
    <col min="12" max="12" width="13.5703125" style="6" bestFit="1" customWidth="1"/>
    <col min="13" max="13" width="13.28515625" style="6" bestFit="1" customWidth="1"/>
    <col min="14" max="18" width="10.28515625" style="6" customWidth="1"/>
    <col min="19" max="19" width="14.28515625" style="6" bestFit="1" customWidth="1"/>
    <col min="20" max="20" width="12.5703125" style="6" customWidth="1"/>
    <col min="21" max="21" width="11.28515625" style="6" bestFit="1" customWidth="1"/>
    <col min="22" max="23" width="9.140625" style="6"/>
    <col min="24" max="24" width="16.5703125" style="6" customWidth="1"/>
    <col min="25" max="25" width="15.7109375" style="6" customWidth="1"/>
    <col min="26" max="26" width="16.85546875" style="6" customWidth="1"/>
    <col min="27" max="16384" width="9.140625" style="6"/>
  </cols>
  <sheetData>
    <row r="1" spans="2:28" ht="18" customHeight="1" x14ac:dyDescent="0.25">
      <c r="B1" s="266" t="s">
        <v>135</v>
      </c>
      <c r="C1" s="266"/>
      <c r="D1" s="266"/>
      <c r="E1" s="266"/>
      <c r="F1" s="266"/>
    </row>
    <row r="2" spans="2:28" ht="21" x14ac:dyDescent="0.25">
      <c r="B2" s="266" t="s">
        <v>136</v>
      </c>
      <c r="C2" s="266"/>
      <c r="D2" s="266"/>
      <c r="E2" s="266"/>
      <c r="F2" s="266"/>
    </row>
    <row r="3" spans="2:28" ht="21" customHeight="1" x14ac:dyDescent="0.25">
      <c r="B3" s="266" t="s">
        <v>258</v>
      </c>
      <c r="C3" s="266"/>
      <c r="D3" s="266"/>
      <c r="E3" s="266"/>
      <c r="F3" s="266"/>
    </row>
    <row r="4" spans="2:28" ht="18" customHeight="1" x14ac:dyDescent="0.25">
      <c r="B4" s="266" t="s">
        <v>137</v>
      </c>
      <c r="C4" s="266"/>
      <c r="D4" s="266"/>
      <c r="E4" s="266"/>
      <c r="F4" s="266"/>
    </row>
    <row r="6" spans="2:28" ht="12.95" customHeight="1" x14ac:dyDescent="0.25">
      <c r="D6" s="7"/>
      <c r="E6" s="8"/>
      <c r="F6" s="9"/>
      <c r="L6" s="6" t="s">
        <v>202</v>
      </c>
    </row>
    <row r="7" spans="2:28" ht="12.95" customHeight="1" x14ac:dyDescent="0.25">
      <c r="D7" s="7"/>
      <c r="E7" s="8"/>
      <c r="F7" s="10"/>
    </row>
    <row r="8" spans="2:28" ht="12.95" hidden="1" customHeight="1" x14ac:dyDescent="0.25">
      <c r="D8" s="7"/>
      <c r="E8" s="8"/>
      <c r="F8" s="9"/>
      <c r="V8"/>
      <c r="W8"/>
      <c r="X8"/>
      <c r="Y8"/>
      <c r="Z8"/>
      <c r="AA8"/>
    </row>
    <row r="9" spans="2:28" ht="12.95" customHeight="1" x14ac:dyDescent="0.25">
      <c r="C9" s="11"/>
      <c r="D9" s="12"/>
      <c r="E9" s="13"/>
      <c r="F9" s="14" t="s">
        <v>259</v>
      </c>
      <c r="L9" s="6" t="s">
        <v>201</v>
      </c>
      <c r="M9" s="6" t="s">
        <v>199</v>
      </c>
      <c r="V9"/>
      <c r="W9"/>
      <c r="X9"/>
      <c r="Y9"/>
      <c r="Z9"/>
      <c r="AA9"/>
    </row>
    <row r="10" spans="2:28" ht="12.95" customHeight="1" x14ac:dyDescent="0.25">
      <c r="B10" s="15" t="s">
        <v>138</v>
      </c>
      <c r="C10" s="11"/>
      <c r="D10" s="12"/>
      <c r="E10" s="13"/>
      <c r="F10" s="16"/>
      <c r="V10"/>
      <c r="W10"/>
      <c r="X10"/>
      <c r="Y10"/>
      <c r="Z10"/>
      <c r="AA10"/>
      <c r="AB10" s="17"/>
    </row>
    <row r="11" spans="2:28" ht="12.95" customHeight="1" x14ac:dyDescent="0.25">
      <c r="B11" s="18" t="s">
        <v>139</v>
      </c>
      <c r="D11" s="19"/>
      <c r="E11" s="13"/>
      <c r="F11" s="20">
        <v>4314478.78</v>
      </c>
      <c r="L11" s="21">
        <v>3201659</v>
      </c>
      <c r="M11" s="21">
        <f>+F11-L11</f>
        <v>1112819.7800000003</v>
      </c>
      <c r="S11" s="21"/>
      <c r="V11"/>
      <c r="W11"/>
      <c r="X11"/>
      <c r="Y11"/>
      <c r="Z11"/>
      <c r="AA11"/>
      <c r="AB11" s="22"/>
    </row>
    <row r="12" spans="2:28" ht="12.95" hidden="1" customHeight="1" x14ac:dyDescent="0.25">
      <c r="D12" s="23"/>
      <c r="F12" s="16"/>
      <c r="L12" s="21"/>
      <c r="S12" s="21"/>
      <c r="V12"/>
      <c r="W12"/>
      <c r="X12"/>
      <c r="Y12"/>
      <c r="Z12"/>
      <c r="AA12"/>
      <c r="AB12" s="22"/>
    </row>
    <row r="13" spans="2:28" ht="12.95" customHeight="1" x14ac:dyDescent="0.25">
      <c r="D13" s="23"/>
      <c r="F13" s="16"/>
      <c r="L13" s="21"/>
      <c r="S13" s="21"/>
      <c r="V13"/>
      <c r="W13"/>
      <c r="X13"/>
      <c r="Y13"/>
      <c r="Z13"/>
      <c r="AA13"/>
      <c r="AB13" s="22"/>
    </row>
    <row r="14" spans="2:28" ht="12.95" customHeight="1" x14ac:dyDescent="0.25">
      <c r="B14" s="15" t="s">
        <v>140</v>
      </c>
      <c r="D14" s="23"/>
      <c r="F14" s="24"/>
      <c r="L14" s="21"/>
      <c r="S14" s="21"/>
      <c r="V14"/>
      <c r="W14"/>
      <c r="X14"/>
      <c r="Y14"/>
      <c r="Z14"/>
      <c r="AA14"/>
    </row>
    <row r="15" spans="2:28" ht="12.95" hidden="1" customHeight="1" x14ac:dyDescent="0.25">
      <c r="D15" s="23"/>
      <c r="F15" s="16"/>
      <c r="L15" s="21"/>
      <c r="S15" s="21"/>
      <c r="V15"/>
      <c r="W15"/>
      <c r="X15"/>
      <c r="Y15"/>
      <c r="Z15"/>
      <c r="AA15"/>
    </row>
    <row r="16" spans="2:28" ht="12.95" customHeight="1" x14ac:dyDescent="0.25">
      <c r="B16" s="18" t="s">
        <v>141</v>
      </c>
      <c r="C16" s="18"/>
      <c r="D16" s="23"/>
      <c r="F16" s="16">
        <v>4654433.1500000004</v>
      </c>
      <c r="G16" s="25"/>
      <c r="H16" s="25"/>
      <c r="I16" s="25"/>
      <c r="J16" s="25"/>
      <c r="K16" s="25"/>
      <c r="L16" s="25">
        <v>7176043</v>
      </c>
      <c r="M16" s="21">
        <f>+F16-L16</f>
        <v>-2521609.8499999996</v>
      </c>
      <c r="N16" s="25"/>
      <c r="O16" s="25"/>
      <c r="P16" s="25"/>
      <c r="Q16" s="25"/>
      <c r="R16" s="25"/>
      <c r="S16" s="21"/>
      <c r="T16" s="26"/>
      <c r="V16"/>
      <c r="W16"/>
      <c r="X16"/>
      <c r="Y16"/>
      <c r="Z16"/>
      <c r="AA16"/>
    </row>
    <row r="17" spans="2:27" ht="12.95" customHeight="1" x14ac:dyDescent="0.25">
      <c r="D17" s="23"/>
      <c r="L17" s="21"/>
      <c r="S17" s="21"/>
      <c r="V17"/>
      <c r="W17"/>
      <c r="X17"/>
      <c r="Y17"/>
      <c r="Z17"/>
      <c r="AA17"/>
    </row>
    <row r="18" spans="2:27" ht="12.95" hidden="1" customHeight="1" x14ac:dyDescent="0.25">
      <c r="D18" s="23"/>
      <c r="F18" s="16"/>
      <c r="L18" s="21"/>
      <c r="V18"/>
      <c r="W18"/>
      <c r="X18"/>
      <c r="Y18"/>
      <c r="Z18"/>
      <c r="AA18"/>
    </row>
    <row r="19" spans="2:27" ht="12.95" customHeight="1" x14ac:dyDescent="0.25">
      <c r="B19" s="15" t="s">
        <v>142</v>
      </c>
      <c r="D19" s="23"/>
      <c r="F19" s="24"/>
      <c r="L19" s="21"/>
      <c r="V19"/>
      <c r="W19"/>
      <c r="X19"/>
      <c r="Y19"/>
      <c r="Z19"/>
      <c r="AA19"/>
    </row>
    <row r="20" spans="2:27" ht="12.95" hidden="1" customHeight="1" x14ac:dyDescent="0.25">
      <c r="D20" s="27"/>
      <c r="F20" s="16"/>
      <c r="L20" s="21"/>
    </row>
    <row r="21" spans="2:27" ht="12.95" customHeight="1" x14ac:dyDescent="0.25">
      <c r="B21" s="18" t="s">
        <v>143</v>
      </c>
      <c r="C21" s="18"/>
      <c r="D21" s="21"/>
      <c r="F21" s="16">
        <v>693961.34</v>
      </c>
      <c r="G21" s="25"/>
      <c r="H21" s="25"/>
      <c r="I21" s="25"/>
      <c r="J21" s="25"/>
      <c r="K21" s="25"/>
      <c r="L21" s="25">
        <v>846660</v>
      </c>
      <c r="M21" s="21">
        <f>+F21-L21</f>
        <v>-152698.66000000003</v>
      </c>
      <c r="N21" s="25"/>
      <c r="O21" s="25"/>
      <c r="P21" s="25"/>
      <c r="Q21" s="25"/>
      <c r="R21" s="25"/>
      <c r="S21" s="26"/>
      <c r="T21" s="26"/>
    </row>
    <row r="22" spans="2:27" ht="12.95" customHeight="1" x14ac:dyDescent="0.25">
      <c r="D22" s="21"/>
      <c r="F22" s="16"/>
      <c r="L22" s="21"/>
    </row>
    <row r="23" spans="2:27" ht="12.95" hidden="1" customHeight="1" x14ac:dyDescent="0.25">
      <c r="F23" s="16"/>
      <c r="L23" s="21"/>
    </row>
    <row r="24" spans="2:27" ht="12.95" customHeight="1" x14ac:dyDescent="0.25">
      <c r="B24" s="15" t="s">
        <v>185</v>
      </c>
      <c r="F24" s="28">
        <v>4466860.7699999996</v>
      </c>
      <c r="L24" s="21">
        <v>4752663</v>
      </c>
      <c r="M24" s="21">
        <f>+F24-L24</f>
        <v>-285802.23000000045</v>
      </c>
    </row>
    <row r="25" spans="2:27" ht="12.95" hidden="1" customHeight="1" x14ac:dyDescent="0.25">
      <c r="F25" s="29"/>
      <c r="L25" s="21"/>
    </row>
    <row r="26" spans="2:27" ht="12.95" customHeight="1" x14ac:dyDescent="0.25">
      <c r="F26" s="29"/>
      <c r="L26" s="21"/>
    </row>
    <row r="27" spans="2:27" ht="12.95" customHeight="1" x14ac:dyDescent="0.25">
      <c r="B27" s="15" t="s">
        <v>144</v>
      </c>
      <c r="F27" s="30">
        <v>328834.38</v>
      </c>
      <c r="L27" s="91">
        <v>496286</v>
      </c>
      <c r="M27" s="91">
        <f>+F27-L27</f>
        <v>-167451.62</v>
      </c>
    </row>
    <row r="28" spans="2:27" ht="12.95" customHeight="1" x14ac:dyDescent="0.25">
      <c r="B28" s="15"/>
      <c r="T28" s="31"/>
    </row>
    <row r="29" spans="2:27" ht="15.75" thickBot="1" x14ac:dyDescent="0.3">
      <c r="B29" s="15" t="s">
        <v>145</v>
      </c>
      <c r="F29" s="32">
        <f>SUM(F11:F28)</f>
        <v>14458568.42</v>
      </c>
      <c r="L29" s="32">
        <f>SUM(L11:L28)</f>
        <v>16473311</v>
      </c>
      <c r="M29" s="32">
        <f>SUM(M11:M28)</f>
        <v>-2014742.58</v>
      </c>
    </row>
    <row r="30" spans="2:27" ht="15.75" thickTop="1" x14ac:dyDescent="0.25">
      <c r="B30" s="15"/>
      <c r="F30" s="33"/>
    </row>
    <row r="31" spans="2:27" x14ac:dyDescent="0.25">
      <c r="B31" s="15"/>
      <c r="F31" s="33"/>
    </row>
    <row r="32" spans="2:27" x14ac:dyDescent="0.25">
      <c r="B32" s="15"/>
      <c r="F32" s="33"/>
    </row>
    <row r="33" spans="2:28" x14ac:dyDescent="0.25">
      <c r="B33" s="15"/>
      <c r="F33" s="21"/>
    </row>
    <row r="34" spans="2:28" x14ac:dyDescent="0.25">
      <c r="D34" s="6" t="s">
        <v>146</v>
      </c>
      <c r="F34" s="31">
        <f>+F29-F27</f>
        <v>14129734.039999999</v>
      </c>
    </row>
    <row r="36" spans="2:28" x14ac:dyDescent="0.25">
      <c r="F36" s="34"/>
      <c r="S36" s="35"/>
    </row>
    <row r="37" spans="2:28" x14ac:dyDescent="0.25">
      <c r="D37" s="80"/>
      <c r="F37" s="36"/>
    </row>
    <row r="38" spans="2:28" x14ac:dyDescent="0.25">
      <c r="F38" s="36"/>
      <c r="AB38" s="6" t="s">
        <v>147</v>
      </c>
    </row>
    <row r="39" spans="2:28" x14ac:dyDescent="0.25">
      <c r="F39" s="36"/>
      <c r="AB39" s="6" t="s">
        <v>148</v>
      </c>
    </row>
    <row r="40" spans="2:28" x14ac:dyDescent="0.25">
      <c r="F40" s="36"/>
      <c r="AB40" s="6" t="s">
        <v>149</v>
      </c>
    </row>
    <row r="41" spans="2:28" x14ac:dyDescent="0.25">
      <c r="F41" s="36"/>
      <c r="AB41" s="6" t="s">
        <v>150</v>
      </c>
    </row>
    <row r="42" spans="2:28" x14ac:dyDescent="0.25">
      <c r="F42" s="25"/>
    </row>
    <row r="43" spans="2:28" x14ac:dyDescent="0.25">
      <c r="F43" s="25"/>
    </row>
    <row r="44" spans="2:28" x14ac:dyDescent="0.25">
      <c r="F44" s="25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6" sqref="A16"/>
    </sheetView>
  </sheetViews>
  <sheetFormatPr defaultRowHeight="15" x14ac:dyDescent="0.25"/>
  <cols>
    <col min="1" max="1" width="43.85546875" customWidth="1"/>
    <col min="2" max="2" width="39.5703125" customWidth="1"/>
  </cols>
  <sheetData>
    <row r="1" spans="1:2" ht="18" x14ac:dyDescent="0.25">
      <c r="A1" s="269" t="s">
        <v>59</v>
      </c>
      <c r="B1" s="268"/>
    </row>
    <row r="2" spans="1:2" ht="18" x14ac:dyDescent="0.25">
      <c r="A2" s="269" t="s">
        <v>60</v>
      </c>
      <c r="B2" s="268"/>
    </row>
    <row r="3" spans="1:2" x14ac:dyDescent="0.25">
      <c r="A3" s="270" t="s">
        <v>260</v>
      </c>
      <c r="B3" s="268"/>
    </row>
    <row r="5" spans="1:2" x14ac:dyDescent="0.25">
      <c r="A5" s="1"/>
      <c r="B5" s="100" t="s">
        <v>0</v>
      </c>
    </row>
    <row r="6" spans="1:2" x14ac:dyDescent="0.25">
      <c r="A6" s="132" t="s">
        <v>1</v>
      </c>
      <c r="B6" s="133"/>
    </row>
    <row r="7" spans="1:2" x14ac:dyDescent="0.25">
      <c r="A7" s="132" t="s">
        <v>2</v>
      </c>
      <c r="B7" s="133"/>
    </row>
    <row r="8" spans="1:2" x14ac:dyDescent="0.25">
      <c r="A8" s="132" t="s">
        <v>3</v>
      </c>
      <c r="B8" s="133"/>
    </row>
    <row r="9" spans="1:2" x14ac:dyDescent="0.25">
      <c r="A9" s="132" t="s">
        <v>4</v>
      </c>
      <c r="B9" s="134">
        <f>0</f>
        <v>0</v>
      </c>
    </row>
    <row r="10" spans="1:2" x14ac:dyDescent="0.25">
      <c r="A10" s="132" t="s">
        <v>5</v>
      </c>
      <c r="B10" s="134">
        <f>5158.76</f>
        <v>5158.76</v>
      </c>
    </row>
    <row r="11" spans="1:2" x14ac:dyDescent="0.25">
      <c r="A11" s="132" t="s">
        <v>6</v>
      </c>
      <c r="B11" s="134">
        <f>6261.85</f>
        <v>6261.85</v>
      </c>
    </row>
    <row r="12" spans="1:2" x14ac:dyDescent="0.25">
      <c r="A12" s="132" t="s">
        <v>7</v>
      </c>
      <c r="B12" s="134">
        <f>25275.98</f>
        <v>25275.98</v>
      </c>
    </row>
    <row r="13" spans="1:2" x14ac:dyDescent="0.25">
      <c r="A13" s="132" t="s">
        <v>8</v>
      </c>
      <c r="B13" s="134">
        <f>324.82</f>
        <v>324.82</v>
      </c>
    </row>
    <row r="14" spans="1:2" x14ac:dyDescent="0.25">
      <c r="A14" s="132" t="s">
        <v>9</v>
      </c>
      <c r="B14" s="135">
        <f>((((B9)+(B10))+(B11))+(B12))+(B13)</f>
        <v>37021.409999999996</v>
      </c>
    </row>
    <row r="15" spans="1:2" x14ac:dyDescent="0.25">
      <c r="A15" s="132" t="s">
        <v>10</v>
      </c>
      <c r="B15" s="133"/>
    </row>
    <row r="16" spans="1:2" x14ac:dyDescent="0.25">
      <c r="A16" s="132" t="s">
        <v>11</v>
      </c>
      <c r="B16" s="134">
        <f>33333.4</f>
        <v>33333.4</v>
      </c>
    </row>
    <row r="17" spans="1:2" x14ac:dyDescent="0.25">
      <c r="A17" s="132" t="s">
        <v>12</v>
      </c>
      <c r="B17" s="135">
        <f>B16</f>
        <v>33333.4</v>
      </c>
    </row>
    <row r="18" spans="1:2" x14ac:dyDescent="0.25">
      <c r="A18" s="132" t="s">
        <v>13</v>
      </c>
      <c r="B18" s="133"/>
    </row>
    <row r="19" spans="1:2" x14ac:dyDescent="0.25">
      <c r="A19" s="132" t="s">
        <v>14</v>
      </c>
      <c r="B19" s="134">
        <f>0</f>
        <v>0</v>
      </c>
    </row>
    <row r="20" spans="1:2" x14ac:dyDescent="0.25">
      <c r="A20" s="132" t="s">
        <v>15</v>
      </c>
      <c r="B20" s="135">
        <f>B19</f>
        <v>0</v>
      </c>
    </row>
    <row r="21" spans="1:2" x14ac:dyDescent="0.25">
      <c r="A21" s="132" t="s">
        <v>16</v>
      </c>
      <c r="B21" s="135">
        <f>((B14)+(B17))+(B20)</f>
        <v>70354.81</v>
      </c>
    </row>
    <row r="22" spans="1:2" x14ac:dyDescent="0.25">
      <c r="A22" s="132" t="s">
        <v>17</v>
      </c>
      <c r="B22" s="133"/>
    </row>
    <row r="23" spans="1:2" x14ac:dyDescent="0.25">
      <c r="A23" s="132" t="s">
        <v>18</v>
      </c>
      <c r="B23" s="134">
        <f>2328.97</f>
        <v>2328.9699999999998</v>
      </c>
    </row>
    <row r="24" spans="1:2" x14ac:dyDescent="0.25">
      <c r="A24" s="132" t="s">
        <v>19</v>
      </c>
      <c r="B24" s="134">
        <f>-1875.89</f>
        <v>-1875.89</v>
      </c>
    </row>
    <row r="25" spans="1:2" x14ac:dyDescent="0.25">
      <c r="A25" s="132" t="s">
        <v>20</v>
      </c>
      <c r="B25" s="135">
        <f>(B23)+(B24)</f>
        <v>453.0799999999997</v>
      </c>
    </row>
    <row r="26" spans="1:2" x14ac:dyDescent="0.25">
      <c r="A26" s="132" t="s">
        <v>21</v>
      </c>
      <c r="B26" s="135">
        <f>B25</f>
        <v>453.0799999999997</v>
      </c>
    </row>
    <row r="27" spans="1:2" x14ac:dyDescent="0.25">
      <c r="A27" s="132" t="s">
        <v>22</v>
      </c>
      <c r="B27" s="133"/>
    </row>
    <row r="28" spans="1:2" x14ac:dyDescent="0.25">
      <c r="A28" s="132" t="s">
        <v>23</v>
      </c>
      <c r="B28" s="134">
        <f>0</f>
        <v>0</v>
      </c>
    </row>
    <row r="29" spans="1:2" x14ac:dyDescent="0.25">
      <c r="A29" s="132" t="s">
        <v>24</v>
      </c>
      <c r="B29" s="134">
        <f>10144089.64</f>
        <v>10144089.640000001</v>
      </c>
    </row>
    <row r="30" spans="1:2" x14ac:dyDescent="0.25">
      <c r="A30" s="132" t="s">
        <v>25</v>
      </c>
      <c r="B30" s="134">
        <f>4307711.41</f>
        <v>4307711.41</v>
      </c>
    </row>
    <row r="31" spans="1:2" x14ac:dyDescent="0.25">
      <c r="A31" s="132" t="s">
        <v>26</v>
      </c>
      <c r="B31" s="134">
        <f>6767.37</f>
        <v>6767.37</v>
      </c>
    </row>
    <row r="32" spans="1:2" x14ac:dyDescent="0.25">
      <c r="A32" s="132" t="s">
        <v>27</v>
      </c>
      <c r="B32" s="135">
        <f>(((B28)+(B29))+(B30))+(B31)</f>
        <v>14458568.42</v>
      </c>
    </row>
    <row r="33" spans="1:2" x14ac:dyDescent="0.25">
      <c r="A33" s="132" t="s">
        <v>28</v>
      </c>
      <c r="B33" s="134">
        <f>7671</f>
        <v>7671</v>
      </c>
    </row>
    <row r="34" spans="1:2" x14ac:dyDescent="0.25">
      <c r="A34" s="132" t="s">
        <v>29</v>
      </c>
      <c r="B34" s="134">
        <f>1876</f>
        <v>1876</v>
      </c>
    </row>
    <row r="35" spans="1:2" x14ac:dyDescent="0.25">
      <c r="A35" s="132" t="s">
        <v>30</v>
      </c>
      <c r="B35" s="135">
        <f>(B33)+(B34)</f>
        <v>9547</v>
      </c>
    </row>
    <row r="36" spans="1:2" x14ac:dyDescent="0.25">
      <c r="A36" s="132" t="s">
        <v>31</v>
      </c>
      <c r="B36" s="134">
        <f>70214.89</f>
        <v>70214.89</v>
      </c>
    </row>
    <row r="37" spans="1:2" x14ac:dyDescent="0.25">
      <c r="A37" s="132" t="s">
        <v>32</v>
      </c>
      <c r="B37" s="134">
        <f>4399.69</f>
        <v>4399.6899999999996</v>
      </c>
    </row>
    <row r="38" spans="1:2" x14ac:dyDescent="0.25">
      <c r="A38" s="132" t="s">
        <v>33</v>
      </c>
      <c r="B38" s="134">
        <f>0</f>
        <v>0</v>
      </c>
    </row>
    <row r="39" spans="1:2" x14ac:dyDescent="0.25">
      <c r="A39" s="132" t="s">
        <v>34</v>
      </c>
      <c r="B39" s="134">
        <f>0</f>
        <v>0</v>
      </c>
    </row>
    <row r="40" spans="1:2" x14ac:dyDescent="0.25">
      <c r="A40" s="132" t="s">
        <v>35</v>
      </c>
      <c r="B40" s="134">
        <f>0</f>
        <v>0</v>
      </c>
    </row>
    <row r="41" spans="1:2" x14ac:dyDescent="0.25">
      <c r="A41" s="132" t="s">
        <v>36</v>
      </c>
      <c r="B41" s="135">
        <f>((((((B32)+(B35))+(B36))+(B37))+(B38))+(B39))+(B40)</f>
        <v>14542730</v>
      </c>
    </row>
    <row r="42" spans="1:2" x14ac:dyDescent="0.25">
      <c r="A42" s="132" t="s">
        <v>37</v>
      </c>
      <c r="B42" s="135">
        <f>((B21)+(B26))+(B41)</f>
        <v>14613537.890000001</v>
      </c>
    </row>
    <row r="43" spans="1:2" x14ac:dyDescent="0.25">
      <c r="A43" s="132" t="s">
        <v>38</v>
      </c>
      <c r="B43" s="133"/>
    </row>
    <row r="44" spans="1:2" x14ac:dyDescent="0.25">
      <c r="A44" s="132" t="s">
        <v>39</v>
      </c>
      <c r="B44" s="133"/>
    </row>
    <row r="45" spans="1:2" x14ac:dyDescent="0.25">
      <c r="A45" s="132" t="s">
        <v>40</v>
      </c>
      <c r="B45" s="133"/>
    </row>
    <row r="46" spans="1:2" x14ac:dyDescent="0.25">
      <c r="A46" s="132" t="s">
        <v>41</v>
      </c>
      <c r="B46" s="133"/>
    </row>
    <row r="47" spans="1:2" x14ac:dyDescent="0.25">
      <c r="A47" s="132" t="s">
        <v>42</v>
      </c>
      <c r="B47" s="134">
        <f>5090</f>
        <v>5090</v>
      </c>
    </row>
    <row r="48" spans="1:2" x14ac:dyDescent="0.25">
      <c r="A48" s="132" t="s">
        <v>43</v>
      </c>
      <c r="B48" s="135">
        <f>B47</f>
        <v>5090</v>
      </c>
    </row>
    <row r="49" spans="1:2" x14ac:dyDescent="0.25">
      <c r="A49" s="132" t="s">
        <v>44</v>
      </c>
      <c r="B49" s="133"/>
    </row>
    <row r="50" spans="1:2" x14ac:dyDescent="0.25">
      <c r="A50" s="132" t="s">
        <v>45</v>
      </c>
      <c r="B50" s="134">
        <f>0</f>
        <v>0</v>
      </c>
    </row>
    <row r="51" spans="1:2" x14ac:dyDescent="0.25">
      <c r="A51" s="132" t="s">
        <v>46</v>
      </c>
      <c r="B51" s="134">
        <f>23954.95</f>
        <v>23954.95</v>
      </c>
    </row>
    <row r="52" spans="1:2" x14ac:dyDescent="0.25">
      <c r="A52" s="132" t="s">
        <v>47</v>
      </c>
      <c r="B52" s="134">
        <f>4312582.15</f>
        <v>4312582.1500000004</v>
      </c>
    </row>
    <row r="53" spans="1:2" x14ac:dyDescent="0.25">
      <c r="A53" s="132" t="s">
        <v>48</v>
      </c>
      <c r="B53" s="135">
        <f>((B50)+(B51))+(B52)</f>
        <v>4336537.1000000006</v>
      </c>
    </row>
    <row r="54" spans="1:2" x14ac:dyDescent="0.25">
      <c r="A54" s="132" t="s">
        <v>49</v>
      </c>
      <c r="B54" s="135">
        <f>(B48)+(B53)</f>
        <v>4341627.1000000006</v>
      </c>
    </row>
    <row r="55" spans="1:2" x14ac:dyDescent="0.25">
      <c r="A55" s="132" t="s">
        <v>50</v>
      </c>
      <c r="B55" s="135">
        <f>B54</f>
        <v>4341627.1000000006</v>
      </c>
    </row>
    <row r="56" spans="1:2" x14ac:dyDescent="0.25">
      <c r="A56" s="132" t="s">
        <v>51</v>
      </c>
      <c r="B56" s="133"/>
    </row>
    <row r="57" spans="1:2" x14ac:dyDescent="0.25">
      <c r="A57" s="132" t="s">
        <v>52</v>
      </c>
      <c r="B57" s="134">
        <f>3800186.96</f>
        <v>3800186.96</v>
      </c>
    </row>
    <row r="58" spans="1:2" x14ac:dyDescent="0.25">
      <c r="A58" s="132" t="s">
        <v>53</v>
      </c>
      <c r="B58" s="134">
        <f>4629794.91</f>
        <v>4629794.91</v>
      </c>
    </row>
    <row r="59" spans="1:2" x14ac:dyDescent="0.25">
      <c r="A59" s="132" t="s">
        <v>54</v>
      </c>
      <c r="B59" s="134">
        <f>761386.07</f>
        <v>761386.07</v>
      </c>
    </row>
    <row r="60" spans="1:2" x14ac:dyDescent="0.25">
      <c r="A60" s="132" t="s">
        <v>55</v>
      </c>
      <c r="B60" s="134">
        <f>400842.21</f>
        <v>400842.21</v>
      </c>
    </row>
    <row r="61" spans="1:2" x14ac:dyDescent="0.25">
      <c r="A61" s="132" t="s">
        <v>56</v>
      </c>
      <c r="B61" s="134">
        <f>679700.64</f>
        <v>679700.64</v>
      </c>
    </row>
    <row r="62" spans="1:2" x14ac:dyDescent="0.25">
      <c r="A62" s="132" t="s">
        <v>57</v>
      </c>
      <c r="B62" s="135">
        <f>((((B57)+(B58))+(B59))+(B60))+(B61)</f>
        <v>10271910.790000003</v>
      </c>
    </row>
    <row r="63" spans="1:2" x14ac:dyDescent="0.25">
      <c r="A63" s="132" t="s">
        <v>58</v>
      </c>
      <c r="B63" s="135">
        <f>(B55)+(B62)</f>
        <v>14613537.890000004</v>
      </c>
    </row>
    <row r="64" spans="1:2" x14ac:dyDescent="0.25">
      <c r="A64" s="132"/>
      <c r="B64" s="133"/>
    </row>
    <row r="65" spans="1:2" x14ac:dyDescent="0.25">
      <c r="A65" s="271" t="s">
        <v>61</v>
      </c>
      <c r="B65" s="271"/>
    </row>
    <row r="67" spans="1:2" x14ac:dyDescent="0.25">
      <c r="A67" s="267" t="s">
        <v>261</v>
      </c>
      <c r="B67" s="268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84"/>
  <sheetViews>
    <sheetView topLeftCell="A3" zoomScale="140" zoomScaleNormal="140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B7" sqref="B7"/>
    </sheetView>
  </sheetViews>
  <sheetFormatPr defaultRowHeight="15" x14ac:dyDescent="0.25"/>
  <cols>
    <col min="1" max="1" width="40.42578125" customWidth="1"/>
    <col min="2" max="5" width="16.28515625" customWidth="1"/>
    <col min="7" max="7" width="22.5703125" customWidth="1"/>
    <col min="8" max="8" width="13.140625" bestFit="1" customWidth="1"/>
    <col min="9" max="9" width="17.140625" customWidth="1"/>
    <col min="10" max="10" width="12.85546875" customWidth="1"/>
    <col min="11" max="11" width="10.5703125" bestFit="1" customWidth="1"/>
  </cols>
  <sheetData>
    <row r="1" spans="1:8" ht="18" x14ac:dyDescent="0.25">
      <c r="A1" s="269" t="s">
        <v>59</v>
      </c>
      <c r="B1" s="268"/>
      <c r="C1" s="268"/>
      <c r="D1" s="268"/>
      <c r="E1" s="268"/>
    </row>
    <row r="2" spans="1:8" ht="18" x14ac:dyDescent="0.25">
      <c r="A2" s="269" t="s">
        <v>207</v>
      </c>
      <c r="B2" s="268"/>
      <c r="C2" s="268"/>
      <c r="D2" s="268"/>
      <c r="E2" s="268"/>
    </row>
    <row r="3" spans="1:8" x14ac:dyDescent="0.25">
      <c r="A3" s="270" t="s">
        <v>262</v>
      </c>
      <c r="B3" s="268"/>
      <c r="C3" s="268"/>
      <c r="D3" s="268"/>
      <c r="E3" s="268"/>
    </row>
    <row r="5" spans="1:8" x14ac:dyDescent="0.25">
      <c r="A5" s="1"/>
      <c r="B5" s="272" t="s">
        <v>0</v>
      </c>
      <c r="C5" s="273"/>
      <c r="D5" s="273"/>
      <c r="E5" s="273"/>
    </row>
    <row r="6" spans="1:8" ht="57" customHeight="1" x14ac:dyDescent="0.25">
      <c r="A6" s="1"/>
      <c r="B6" s="94" t="s">
        <v>127</v>
      </c>
      <c r="C6" s="94" t="s">
        <v>126</v>
      </c>
      <c r="D6" s="94" t="s">
        <v>125</v>
      </c>
      <c r="E6" s="94" t="s">
        <v>124</v>
      </c>
    </row>
    <row r="7" spans="1:8" x14ac:dyDescent="0.25">
      <c r="A7" s="132" t="s">
        <v>123</v>
      </c>
      <c r="B7" s="133"/>
      <c r="C7" s="133"/>
      <c r="D7" s="133"/>
      <c r="E7" s="133"/>
    </row>
    <row r="8" spans="1:8" x14ac:dyDescent="0.25">
      <c r="A8" s="132" t="s">
        <v>122</v>
      </c>
      <c r="B8" s="133"/>
      <c r="C8" s="133"/>
      <c r="D8" s="134">
        <f t="shared" ref="D8:D17" si="0">(B8)-(C8)</f>
        <v>0</v>
      </c>
      <c r="E8" s="136" t="str">
        <f t="shared" ref="E8:E17" si="1">IF(C8=0,"",(B8)/(C8))</f>
        <v/>
      </c>
    </row>
    <row r="9" spans="1:8" x14ac:dyDescent="0.25">
      <c r="A9" s="132" t="s">
        <v>121</v>
      </c>
      <c r="B9" s="134">
        <f>25128.52</f>
        <v>25128.52</v>
      </c>
      <c r="C9" s="134">
        <f>31000</f>
        <v>31000</v>
      </c>
      <c r="D9" s="134">
        <f t="shared" si="0"/>
        <v>-5871.48</v>
      </c>
      <c r="E9" s="136">
        <f t="shared" si="1"/>
        <v>0.81059741935483876</v>
      </c>
    </row>
    <row r="10" spans="1:8" x14ac:dyDescent="0.25">
      <c r="A10" s="132" t="s">
        <v>120</v>
      </c>
      <c r="B10" s="133"/>
      <c r="C10" s="133"/>
      <c r="D10" s="134">
        <f t="shared" si="0"/>
        <v>0</v>
      </c>
      <c r="E10" s="136" t="str">
        <f t="shared" si="1"/>
        <v/>
      </c>
    </row>
    <row r="11" spans="1:8" x14ac:dyDescent="0.25">
      <c r="A11" s="132" t="s">
        <v>119</v>
      </c>
      <c r="B11" s="134">
        <v>134056.49</v>
      </c>
      <c r="C11" s="134">
        <f>155000</f>
        <v>155000</v>
      </c>
      <c r="D11" s="134">
        <f t="shared" si="0"/>
        <v>-20943.510000000009</v>
      </c>
      <c r="E11" s="136">
        <f t="shared" si="1"/>
        <v>0.86488058064516127</v>
      </c>
    </row>
    <row r="12" spans="1:8" x14ac:dyDescent="0.25">
      <c r="A12" s="132" t="s">
        <v>208</v>
      </c>
      <c r="B12" s="135">
        <f>(B10)+(B11)</f>
        <v>134056.49</v>
      </c>
      <c r="C12" s="135">
        <f>(C10)+(C11)</f>
        <v>155000</v>
      </c>
      <c r="D12" s="135">
        <f t="shared" si="0"/>
        <v>-20943.510000000009</v>
      </c>
      <c r="E12" s="137">
        <f t="shared" si="1"/>
        <v>0.86488058064516127</v>
      </c>
      <c r="H12" s="77"/>
    </row>
    <row r="13" spans="1:8" x14ac:dyDescent="0.25">
      <c r="A13" s="132" t="s">
        <v>209</v>
      </c>
      <c r="B13" s="134">
        <f>33333.4</f>
        <v>33333.4</v>
      </c>
      <c r="C13" s="134">
        <f>40000</f>
        <v>40000</v>
      </c>
      <c r="D13" s="134">
        <f t="shared" si="0"/>
        <v>-6666.5999999999985</v>
      </c>
      <c r="E13" s="136">
        <f t="shared" si="1"/>
        <v>0.83333500000000005</v>
      </c>
    </row>
    <row r="14" spans="1:8" x14ac:dyDescent="0.25">
      <c r="A14" s="132" t="s">
        <v>118</v>
      </c>
      <c r="B14" s="135">
        <f>(((B8)+(B9))+(B12))+(B13)</f>
        <v>192518.40999999997</v>
      </c>
      <c r="C14" s="135">
        <f>(((C8)+(C9))+(C12))+(C13)</f>
        <v>226000</v>
      </c>
      <c r="D14" s="135">
        <f t="shared" si="0"/>
        <v>-33481.590000000026</v>
      </c>
      <c r="E14" s="137">
        <f t="shared" si="1"/>
        <v>0.85185137168141578</v>
      </c>
    </row>
    <row r="15" spans="1:8" x14ac:dyDescent="0.25">
      <c r="A15" s="132" t="s">
        <v>117</v>
      </c>
      <c r="B15" s="134">
        <f>719.89</f>
        <v>719.89</v>
      </c>
      <c r="C15" s="133"/>
      <c r="D15" s="134">
        <f t="shared" si="0"/>
        <v>719.89</v>
      </c>
      <c r="E15" s="136" t="str">
        <f t="shared" si="1"/>
        <v/>
      </c>
    </row>
    <row r="16" spans="1:8" x14ac:dyDescent="0.25">
      <c r="A16" s="132" t="s">
        <v>116</v>
      </c>
      <c r="B16" s="135">
        <f>(B14)+(B15)</f>
        <v>193238.3</v>
      </c>
      <c r="C16" s="135">
        <f>(C14)+(C15)</f>
        <v>226000</v>
      </c>
      <c r="D16" s="135">
        <f t="shared" si="0"/>
        <v>-32761.700000000012</v>
      </c>
      <c r="E16" s="137">
        <f t="shared" si="1"/>
        <v>0.8550367256637168</v>
      </c>
    </row>
    <row r="17" spans="1:9" x14ac:dyDescent="0.25">
      <c r="A17" s="132" t="s">
        <v>115</v>
      </c>
      <c r="B17" s="135">
        <f>(B16)-(0)</f>
        <v>193238.3</v>
      </c>
      <c r="C17" s="135">
        <f>(C16)-(0)</f>
        <v>226000</v>
      </c>
      <c r="D17" s="135">
        <f t="shared" si="0"/>
        <v>-32761.700000000012</v>
      </c>
      <c r="E17" s="137">
        <f t="shared" si="1"/>
        <v>0.8550367256637168</v>
      </c>
      <c r="H17" s="77">
        <f>+D17</f>
        <v>-32761.700000000012</v>
      </c>
      <c r="I17" t="s">
        <v>222</v>
      </c>
    </row>
    <row r="18" spans="1:9" x14ac:dyDescent="0.25">
      <c r="A18" s="132" t="s">
        <v>114</v>
      </c>
      <c r="B18" s="133"/>
      <c r="C18" s="133"/>
      <c r="D18" s="133"/>
      <c r="E18" s="133"/>
    </row>
    <row r="19" spans="1:9" x14ac:dyDescent="0.25">
      <c r="A19" s="132" t="s">
        <v>200</v>
      </c>
      <c r="B19" s="134">
        <f>250</f>
        <v>250</v>
      </c>
      <c r="C19" s="134">
        <f>2500</f>
        <v>2500</v>
      </c>
      <c r="D19" s="134">
        <f t="shared" ref="D19:D61" si="2">(B19)-(C19)</f>
        <v>-2250</v>
      </c>
      <c r="E19" s="136">
        <f t="shared" ref="E19:E61" si="3">IF(C19=0,"",(B19)/(C19))</f>
        <v>0.1</v>
      </c>
    </row>
    <row r="20" spans="1:9" x14ac:dyDescent="0.25">
      <c r="A20" s="132" t="s">
        <v>210</v>
      </c>
      <c r="B20" s="133">
        <v>0</v>
      </c>
      <c r="C20" s="134">
        <f>18000</f>
        <v>18000</v>
      </c>
      <c r="D20" s="134">
        <f t="shared" si="2"/>
        <v>-18000</v>
      </c>
      <c r="E20" s="136">
        <f t="shared" si="3"/>
        <v>0</v>
      </c>
    </row>
    <row r="21" spans="1:9" x14ac:dyDescent="0.25">
      <c r="A21" s="132" t="s">
        <v>113</v>
      </c>
      <c r="B21" s="134">
        <f>572.02</f>
        <v>572.02</v>
      </c>
      <c r="C21" s="134">
        <f>41.7</f>
        <v>41.7</v>
      </c>
      <c r="D21" s="134">
        <f t="shared" si="2"/>
        <v>530.31999999999994</v>
      </c>
      <c r="E21" s="136">
        <f t="shared" si="3"/>
        <v>13.717505995203835</v>
      </c>
    </row>
    <row r="22" spans="1:9" x14ac:dyDescent="0.25">
      <c r="A22" s="132" t="s">
        <v>112</v>
      </c>
      <c r="B22" s="134">
        <f>1000</f>
        <v>1000</v>
      </c>
      <c r="C22" s="134">
        <f>1000</f>
        <v>1000</v>
      </c>
      <c r="D22" s="134">
        <f t="shared" si="2"/>
        <v>0</v>
      </c>
      <c r="E22" s="136">
        <f t="shared" si="3"/>
        <v>1</v>
      </c>
      <c r="F22" t="s">
        <v>229</v>
      </c>
      <c r="G22" s="79">
        <f>SUM(B19:B29)</f>
        <v>34650.69</v>
      </c>
    </row>
    <row r="23" spans="1:9" x14ac:dyDescent="0.25">
      <c r="A23" s="132" t="s">
        <v>111</v>
      </c>
      <c r="B23" s="134">
        <f>183.29</f>
        <v>183.29</v>
      </c>
      <c r="C23" s="134">
        <f>833.3</f>
        <v>833.3</v>
      </c>
      <c r="D23" s="134">
        <f t="shared" si="2"/>
        <v>-650.01</v>
      </c>
      <c r="E23" s="136">
        <f t="shared" si="3"/>
        <v>0.21995679827193088</v>
      </c>
      <c r="F23" t="s">
        <v>230</v>
      </c>
      <c r="G23" s="79">
        <f>SUM(C19:C29)</f>
        <v>58708.399999999994</v>
      </c>
    </row>
    <row r="24" spans="1:9" x14ac:dyDescent="0.25">
      <c r="A24" s="132" t="s">
        <v>110</v>
      </c>
      <c r="B24" s="134">
        <f>818.63</f>
        <v>818.63</v>
      </c>
      <c r="C24" s="133"/>
      <c r="D24" s="134">
        <f t="shared" si="2"/>
        <v>818.63</v>
      </c>
      <c r="E24" s="136" t="str">
        <f t="shared" si="3"/>
        <v/>
      </c>
      <c r="G24" s="76">
        <f>+G23-G22</f>
        <v>24057.709999999992</v>
      </c>
    </row>
    <row r="25" spans="1:9" x14ac:dyDescent="0.25">
      <c r="A25" s="132" t="s">
        <v>109</v>
      </c>
      <c r="B25" s="134">
        <f>826.75</f>
        <v>826.75</v>
      </c>
      <c r="C25" s="134">
        <f>5416.7</f>
        <v>5416.7</v>
      </c>
      <c r="D25" s="134">
        <f t="shared" si="2"/>
        <v>-4589.95</v>
      </c>
      <c r="E25" s="136">
        <f t="shared" si="3"/>
        <v>0.1526298299702771</v>
      </c>
    </row>
    <row r="26" spans="1:9" x14ac:dyDescent="0.25">
      <c r="A26" s="132" t="s">
        <v>108</v>
      </c>
      <c r="B26" s="134">
        <f>30000</f>
        <v>30000</v>
      </c>
      <c r="C26" s="134">
        <f>27500</f>
        <v>27500</v>
      </c>
      <c r="D26" s="134">
        <f t="shared" si="2"/>
        <v>2500</v>
      </c>
      <c r="E26" s="136">
        <f t="shared" si="3"/>
        <v>1.0909090909090908</v>
      </c>
    </row>
    <row r="27" spans="1:9" x14ac:dyDescent="0.25">
      <c r="A27" s="132" t="s">
        <v>107</v>
      </c>
      <c r="B27" s="133"/>
      <c r="C27" s="134">
        <f>41.7</f>
        <v>41.7</v>
      </c>
      <c r="D27" s="134">
        <f t="shared" si="2"/>
        <v>-41.7</v>
      </c>
      <c r="E27" s="136">
        <f t="shared" si="3"/>
        <v>0</v>
      </c>
    </row>
    <row r="28" spans="1:9" x14ac:dyDescent="0.25">
      <c r="A28" s="132" t="s">
        <v>106</v>
      </c>
      <c r="B28" s="134">
        <f>1000</f>
        <v>1000</v>
      </c>
      <c r="C28" s="134">
        <f>2916.7</f>
        <v>2916.7</v>
      </c>
      <c r="D28" s="134">
        <f t="shared" si="2"/>
        <v>-1916.6999999999998</v>
      </c>
      <c r="E28" s="136">
        <f t="shared" si="3"/>
        <v>0.34285322453457678</v>
      </c>
    </row>
    <row r="29" spans="1:9" x14ac:dyDescent="0.25">
      <c r="A29" s="132" t="s">
        <v>105</v>
      </c>
      <c r="B29" s="133"/>
      <c r="C29" s="134">
        <f>458.3</f>
        <v>458.3</v>
      </c>
      <c r="D29" s="134">
        <f t="shared" si="2"/>
        <v>-458.3</v>
      </c>
      <c r="E29" s="136">
        <f t="shared" si="3"/>
        <v>0</v>
      </c>
      <c r="H29" s="79">
        <f>SUM(D19:D29)</f>
        <v>-24057.71</v>
      </c>
      <c r="I29" t="s">
        <v>223</v>
      </c>
    </row>
    <row r="30" spans="1:9" x14ac:dyDescent="0.25">
      <c r="A30" s="132" t="s">
        <v>104</v>
      </c>
      <c r="B30" s="133"/>
      <c r="C30" s="133"/>
      <c r="D30" s="134">
        <f t="shared" si="2"/>
        <v>0</v>
      </c>
      <c r="E30" s="136" t="str">
        <f t="shared" si="3"/>
        <v/>
      </c>
      <c r="F30" t="s">
        <v>229</v>
      </c>
      <c r="G30" s="81">
        <f>SUM(B30:B34)</f>
        <v>123377.58</v>
      </c>
    </row>
    <row r="31" spans="1:9" x14ac:dyDescent="0.25">
      <c r="A31" s="132" t="s">
        <v>103</v>
      </c>
      <c r="B31" s="134">
        <f>2370</f>
        <v>2370</v>
      </c>
      <c r="C31" s="134">
        <f>1058.3</f>
        <v>1058.3</v>
      </c>
      <c r="D31" s="134">
        <f t="shared" si="2"/>
        <v>1311.7</v>
      </c>
      <c r="E31" s="136">
        <f t="shared" si="3"/>
        <v>2.2394406123027499</v>
      </c>
      <c r="F31" t="s">
        <v>230</v>
      </c>
      <c r="G31" s="81">
        <f>SUM(C31:C34)</f>
        <v>132104.1</v>
      </c>
    </row>
    <row r="32" spans="1:9" x14ac:dyDescent="0.25">
      <c r="A32" s="132" t="s">
        <v>102</v>
      </c>
      <c r="B32" s="134">
        <f>108755</f>
        <v>108755</v>
      </c>
      <c r="C32" s="134">
        <f>118375</f>
        <v>118375</v>
      </c>
      <c r="D32" s="134">
        <f t="shared" si="2"/>
        <v>-9620</v>
      </c>
      <c r="E32" s="136">
        <f t="shared" si="3"/>
        <v>0.91873284054910243</v>
      </c>
      <c r="G32" s="81">
        <f>+G30-G31</f>
        <v>-8726.5200000000041</v>
      </c>
    </row>
    <row r="33" spans="1:11" x14ac:dyDescent="0.25">
      <c r="A33" s="132" t="s">
        <v>101</v>
      </c>
      <c r="B33" s="134">
        <f>263</f>
        <v>263</v>
      </c>
      <c r="C33" s="134">
        <f>833.3</f>
        <v>833.3</v>
      </c>
      <c r="D33" s="134">
        <f t="shared" si="2"/>
        <v>-570.29999999999995</v>
      </c>
      <c r="E33" s="136">
        <f t="shared" si="3"/>
        <v>0.31561262450498023</v>
      </c>
      <c r="G33" s="81"/>
    </row>
    <row r="34" spans="1:11" x14ac:dyDescent="0.25">
      <c r="A34" s="132" t="s">
        <v>100</v>
      </c>
      <c r="B34" s="134">
        <f>11989.58</f>
        <v>11989.58</v>
      </c>
      <c r="C34" s="134">
        <f>11837.5</f>
        <v>11837.5</v>
      </c>
      <c r="D34" s="134">
        <f t="shared" si="2"/>
        <v>152.07999999999993</v>
      </c>
      <c r="E34" s="136">
        <f t="shared" si="3"/>
        <v>1.0128473072861668</v>
      </c>
    </row>
    <row r="35" spans="1:11" x14ac:dyDescent="0.25">
      <c r="A35" s="132" t="s">
        <v>99</v>
      </c>
      <c r="B35" s="135">
        <f>((((B30)+(B31))+(B32))+(B33))+(B34)</f>
        <v>123377.58</v>
      </c>
      <c r="C35" s="135">
        <f>((((C30)+(C31))+(C32))+(C33))+(C34)</f>
        <v>132104.1</v>
      </c>
      <c r="D35" s="135">
        <f t="shared" si="2"/>
        <v>-8726.5200000000041</v>
      </c>
      <c r="E35" s="137">
        <f t="shared" si="3"/>
        <v>0.93394209566546382</v>
      </c>
      <c r="H35" s="77">
        <f>+D35</f>
        <v>-8726.5200000000041</v>
      </c>
      <c r="I35" t="s">
        <v>223</v>
      </c>
      <c r="K35" s="76">
        <f>+H35+H29</f>
        <v>-32784.230000000003</v>
      </c>
    </row>
    <row r="36" spans="1:11" x14ac:dyDescent="0.25">
      <c r="A36" s="132" t="s">
        <v>98</v>
      </c>
      <c r="B36" s="133"/>
      <c r="C36" s="133"/>
      <c r="D36" s="134">
        <f t="shared" si="2"/>
        <v>0</v>
      </c>
      <c r="E36" s="136" t="str">
        <f t="shared" si="3"/>
        <v/>
      </c>
    </row>
    <row r="37" spans="1:11" x14ac:dyDescent="0.25">
      <c r="A37" s="132" t="s">
        <v>97</v>
      </c>
      <c r="B37" s="134">
        <f>22000</f>
        <v>22000</v>
      </c>
      <c r="C37" s="134">
        <f>22000</f>
        <v>22000</v>
      </c>
      <c r="D37" s="134">
        <f t="shared" si="2"/>
        <v>0</v>
      </c>
      <c r="E37" s="136">
        <f t="shared" si="3"/>
        <v>1</v>
      </c>
    </row>
    <row r="38" spans="1:11" x14ac:dyDescent="0.25">
      <c r="A38" s="132" t="s">
        <v>96</v>
      </c>
      <c r="B38" s="134">
        <f>10055</f>
        <v>10055</v>
      </c>
      <c r="C38" s="134">
        <f>9500</f>
        <v>9500</v>
      </c>
      <c r="D38" s="134">
        <f t="shared" si="2"/>
        <v>555</v>
      </c>
      <c r="E38" s="136">
        <f t="shared" si="3"/>
        <v>1.0584210526315789</v>
      </c>
    </row>
    <row r="39" spans="1:11" x14ac:dyDescent="0.25">
      <c r="A39" s="132" t="s">
        <v>95</v>
      </c>
      <c r="B39" s="133"/>
      <c r="C39" s="134">
        <f>833.3</f>
        <v>833.3</v>
      </c>
      <c r="D39" s="134">
        <f t="shared" si="2"/>
        <v>-833.3</v>
      </c>
      <c r="E39" s="136">
        <f t="shared" si="3"/>
        <v>0</v>
      </c>
    </row>
    <row r="40" spans="1:11" x14ac:dyDescent="0.25">
      <c r="A40" s="132" t="s">
        <v>94</v>
      </c>
      <c r="B40" s="135">
        <f>(((B36)+(B37))+(B38))+(B39)</f>
        <v>32055</v>
      </c>
      <c r="C40" s="135">
        <f>(((C36)+(C37))+(C38))+(C39)</f>
        <v>32333.3</v>
      </c>
      <c r="D40" s="135">
        <f t="shared" si="2"/>
        <v>-278.29999999999927</v>
      </c>
      <c r="E40" s="137">
        <f t="shared" si="3"/>
        <v>0.99139277463172648</v>
      </c>
      <c r="H40" s="77">
        <f>+D40</f>
        <v>-278.29999999999927</v>
      </c>
      <c r="I40" t="s">
        <v>223</v>
      </c>
    </row>
    <row r="41" spans="1:11" x14ac:dyDescent="0.25">
      <c r="A41" s="132" t="s">
        <v>93</v>
      </c>
      <c r="B41" s="133"/>
      <c r="C41" s="133"/>
      <c r="D41" s="134">
        <f t="shared" si="2"/>
        <v>0</v>
      </c>
      <c r="E41" s="136" t="str">
        <f t="shared" si="3"/>
        <v/>
      </c>
    </row>
    <row r="42" spans="1:11" x14ac:dyDescent="0.25">
      <c r="A42" s="132" t="s">
        <v>92</v>
      </c>
      <c r="B42" s="134">
        <f>0</f>
        <v>0</v>
      </c>
      <c r="C42" s="133"/>
      <c r="D42" s="134">
        <f t="shared" si="2"/>
        <v>0</v>
      </c>
      <c r="E42" s="136" t="str">
        <f t="shared" si="3"/>
        <v/>
      </c>
    </row>
    <row r="43" spans="1:11" x14ac:dyDescent="0.25">
      <c r="A43" s="132" t="s">
        <v>91</v>
      </c>
      <c r="B43" s="134">
        <f>8603.38</f>
        <v>8603.3799999999992</v>
      </c>
      <c r="C43" s="134">
        <f>6500</f>
        <v>6500</v>
      </c>
      <c r="D43" s="134">
        <f t="shared" si="2"/>
        <v>2103.3799999999992</v>
      </c>
      <c r="E43" s="136">
        <f t="shared" si="3"/>
        <v>1.3235969230769229</v>
      </c>
    </row>
    <row r="44" spans="1:11" x14ac:dyDescent="0.25">
      <c r="A44" s="132" t="s">
        <v>90</v>
      </c>
      <c r="B44" s="135">
        <f>((B41)+(B42))+(B43)</f>
        <v>8603.3799999999992</v>
      </c>
      <c r="C44" s="135">
        <f>((C41)+(C42))+(C43)</f>
        <v>6500</v>
      </c>
      <c r="D44" s="135">
        <f t="shared" si="2"/>
        <v>2103.3799999999992</v>
      </c>
      <c r="E44" s="137">
        <f t="shared" si="3"/>
        <v>1.3235969230769229</v>
      </c>
      <c r="H44" s="77">
        <f>+D44</f>
        <v>2103.3799999999992</v>
      </c>
      <c r="I44" t="s">
        <v>224</v>
      </c>
    </row>
    <row r="45" spans="1:11" x14ac:dyDescent="0.25">
      <c r="A45" s="132" t="s">
        <v>89</v>
      </c>
      <c r="B45" s="134">
        <f>445.52</f>
        <v>445.52</v>
      </c>
      <c r="C45" s="133"/>
      <c r="D45" s="134">
        <f t="shared" si="2"/>
        <v>445.52</v>
      </c>
      <c r="E45" s="136" t="str">
        <f t="shared" si="3"/>
        <v/>
      </c>
    </row>
    <row r="46" spans="1:11" x14ac:dyDescent="0.25">
      <c r="A46" s="132" t="s">
        <v>88</v>
      </c>
      <c r="B46" s="134">
        <f>2149.4</f>
        <v>2149.4</v>
      </c>
      <c r="C46" s="134">
        <f>1400</f>
        <v>1400</v>
      </c>
      <c r="D46" s="134">
        <f t="shared" si="2"/>
        <v>749.40000000000009</v>
      </c>
      <c r="E46" s="136">
        <f t="shared" si="3"/>
        <v>1.5352857142857144</v>
      </c>
    </row>
    <row r="47" spans="1:11" x14ac:dyDescent="0.25">
      <c r="A47" s="132" t="s">
        <v>87</v>
      </c>
      <c r="B47" s="134">
        <f>255.11</f>
        <v>255.11</v>
      </c>
      <c r="C47" s="134">
        <f>416.7</f>
        <v>416.7</v>
      </c>
      <c r="D47" s="134">
        <f t="shared" si="2"/>
        <v>-161.58999999999997</v>
      </c>
      <c r="E47" s="136">
        <f t="shared" si="3"/>
        <v>0.61221502279817619</v>
      </c>
    </row>
    <row r="48" spans="1:11" x14ac:dyDescent="0.25">
      <c r="A48" s="132" t="s">
        <v>86</v>
      </c>
      <c r="B48" s="134">
        <f>967.51</f>
        <v>967.51</v>
      </c>
      <c r="C48" s="134">
        <f>83.3</f>
        <v>83.3</v>
      </c>
      <c r="D48" s="134">
        <f t="shared" si="2"/>
        <v>884.21</v>
      </c>
      <c r="E48" s="136">
        <f t="shared" si="3"/>
        <v>11.614765906362546</v>
      </c>
    </row>
    <row r="49" spans="1:11" x14ac:dyDescent="0.25">
      <c r="A49" s="132" t="s">
        <v>85</v>
      </c>
      <c r="B49" s="134">
        <f>1406.57</f>
        <v>1406.57</v>
      </c>
      <c r="C49" s="134">
        <f>1666.7</f>
        <v>1666.7</v>
      </c>
      <c r="D49" s="134">
        <f t="shared" si="2"/>
        <v>-260.13000000000011</v>
      </c>
      <c r="E49" s="136">
        <f t="shared" si="3"/>
        <v>0.84392512149757004</v>
      </c>
    </row>
    <row r="50" spans="1:11" x14ac:dyDescent="0.25">
      <c r="A50" s="132" t="s">
        <v>84</v>
      </c>
      <c r="B50" s="134">
        <f>140</f>
        <v>140</v>
      </c>
      <c r="C50" s="134">
        <f>150</f>
        <v>150</v>
      </c>
      <c r="D50" s="134">
        <f t="shared" si="2"/>
        <v>-10</v>
      </c>
      <c r="E50" s="136">
        <f t="shared" si="3"/>
        <v>0.93333333333333335</v>
      </c>
    </row>
    <row r="51" spans="1:11" x14ac:dyDescent="0.25">
      <c r="A51" s="132" t="s">
        <v>83</v>
      </c>
      <c r="B51" s="134">
        <f>2011.57</f>
        <v>2011.57</v>
      </c>
      <c r="C51" s="134">
        <f>450</f>
        <v>450</v>
      </c>
      <c r="D51" s="134">
        <f t="shared" si="2"/>
        <v>1561.57</v>
      </c>
      <c r="E51" s="136">
        <f t="shared" si="3"/>
        <v>4.4701555555555554</v>
      </c>
    </row>
    <row r="52" spans="1:11" x14ac:dyDescent="0.25">
      <c r="A52" s="132" t="s">
        <v>82</v>
      </c>
      <c r="B52" s="135">
        <f>((((((B45)+(B46))+(B47))+(B48))+(B49))+(B50))+(B51)</f>
        <v>7375.6799999999994</v>
      </c>
      <c r="C52" s="135">
        <f>((((((C45)+(C46))+(C47))+(C48))+(C49))+(C50))+(C51)</f>
        <v>4166.7</v>
      </c>
      <c r="D52" s="135">
        <f t="shared" si="2"/>
        <v>3208.9799999999996</v>
      </c>
      <c r="E52" s="137">
        <f t="shared" si="3"/>
        <v>1.7701490388076895</v>
      </c>
      <c r="H52" s="77">
        <f>+D52</f>
        <v>3208.9799999999996</v>
      </c>
      <c r="I52" t="s">
        <v>224</v>
      </c>
    </row>
    <row r="53" spans="1:11" x14ac:dyDescent="0.25">
      <c r="A53" s="132" t="s">
        <v>81</v>
      </c>
      <c r="B53" s="134">
        <f>55.2</f>
        <v>55.2</v>
      </c>
      <c r="C53" s="133"/>
      <c r="D53" s="134">
        <f t="shared" si="2"/>
        <v>55.2</v>
      </c>
      <c r="E53" s="136" t="str">
        <f t="shared" si="3"/>
        <v/>
      </c>
    </row>
    <row r="54" spans="1:11" x14ac:dyDescent="0.25">
      <c r="A54" s="132" t="s">
        <v>211</v>
      </c>
      <c r="B54" s="134">
        <f>275.15</f>
        <v>275.14999999999998</v>
      </c>
      <c r="C54" s="134">
        <f>416.7</f>
        <v>416.7</v>
      </c>
      <c r="D54" s="134">
        <f t="shared" si="2"/>
        <v>-141.55000000000001</v>
      </c>
      <c r="E54" s="136">
        <f t="shared" si="3"/>
        <v>0.66030717542596584</v>
      </c>
    </row>
    <row r="55" spans="1:11" x14ac:dyDescent="0.25">
      <c r="A55" s="132" t="s">
        <v>80</v>
      </c>
      <c r="B55" s="134">
        <f>2500</f>
        <v>2500</v>
      </c>
      <c r="C55" s="134">
        <f>2916.7</f>
        <v>2916.7</v>
      </c>
      <c r="D55" s="134">
        <f t="shared" si="2"/>
        <v>-416.69999999999982</v>
      </c>
      <c r="E55" s="136">
        <f t="shared" si="3"/>
        <v>0.85713306133644196</v>
      </c>
    </row>
    <row r="56" spans="1:11" x14ac:dyDescent="0.25">
      <c r="A56" s="132" t="s">
        <v>79</v>
      </c>
      <c r="B56" s="133"/>
      <c r="C56" s="134">
        <f>125</f>
        <v>125</v>
      </c>
      <c r="D56" s="134">
        <f t="shared" si="2"/>
        <v>-125</v>
      </c>
      <c r="E56" s="136">
        <f t="shared" si="3"/>
        <v>0</v>
      </c>
    </row>
    <row r="57" spans="1:11" x14ac:dyDescent="0.25">
      <c r="A57" s="132" t="s">
        <v>78</v>
      </c>
      <c r="B57" s="133"/>
      <c r="C57" s="134">
        <f>125</f>
        <v>125</v>
      </c>
      <c r="D57" s="134">
        <f t="shared" si="2"/>
        <v>-125</v>
      </c>
      <c r="E57" s="136">
        <f t="shared" si="3"/>
        <v>0</v>
      </c>
    </row>
    <row r="58" spans="1:11" x14ac:dyDescent="0.25">
      <c r="A58" s="132" t="s">
        <v>77</v>
      </c>
      <c r="B58" s="135">
        <f>((((B53)+(B54))+(B55))+(B56))+(B57)</f>
        <v>2830.35</v>
      </c>
      <c r="C58" s="135">
        <f>((((C53)+(C54))+(C55))+(C56))+(C57)</f>
        <v>3583.3999999999996</v>
      </c>
      <c r="D58" s="135">
        <f t="shared" si="2"/>
        <v>-753.04999999999973</v>
      </c>
      <c r="E58" s="137">
        <f t="shared" si="3"/>
        <v>0.78985042138750916</v>
      </c>
      <c r="H58" s="77">
        <f>+D58</f>
        <v>-753.04999999999973</v>
      </c>
      <c r="I58" t="s">
        <v>223</v>
      </c>
      <c r="K58" s="78"/>
    </row>
    <row r="59" spans="1:11" x14ac:dyDescent="0.25">
      <c r="A59" s="132" t="s">
        <v>212</v>
      </c>
      <c r="B59" s="134">
        <f>9250</f>
        <v>9250</v>
      </c>
      <c r="C59" s="133"/>
      <c r="D59" s="134">
        <f t="shared" si="2"/>
        <v>9250</v>
      </c>
      <c r="E59" s="136" t="str">
        <f t="shared" si="3"/>
        <v/>
      </c>
      <c r="H59" s="99">
        <f>+D59</f>
        <v>9250</v>
      </c>
      <c r="I59" t="s">
        <v>224</v>
      </c>
      <c r="K59" s="76"/>
    </row>
    <row r="60" spans="1:11" x14ac:dyDescent="0.25">
      <c r="A60" s="132" t="s">
        <v>76</v>
      </c>
      <c r="B60" s="135">
        <f>((((((((((((((((B19)+(B20))+(B21))+(B22))+(B23))+(B24))+(B25))+(B26))+(B27))+(B28))+(B29))+(B35))+(B40))+(B44))+(B52))+(B58))+(B59)</f>
        <v>218142.68000000002</v>
      </c>
      <c r="C60" s="135">
        <f>((((((((((((((((C19)+(C20))+(C21))+(C22))+(C23))+(C24))+(C25))+(C26))+(C27))+(C28))+(C29))+(C35))+(C40))+(C44))+(C52))+(C58))+(C59)</f>
        <v>237395.9</v>
      </c>
      <c r="D60" s="135">
        <f t="shared" si="2"/>
        <v>-19253.219999999972</v>
      </c>
      <c r="E60" s="137">
        <f t="shared" si="3"/>
        <v>0.91889826235415195</v>
      </c>
      <c r="H60" s="95">
        <f>+D60</f>
        <v>-19253.219999999972</v>
      </c>
    </row>
    <row r="61" spans="1:11" x14ac:dyDescent="0.25">
      <c r="A61" s="132" t="s">
        <v>75</v>
      </c>
      <c r="B61" s="151">
        <f>(B17)-(B60)</f>
        <v>-24904.380000000034</v>
      </c>
      <c r="C61" s="135">
        <f>(C17)-(C60)</f>
        <v>-11395.899999999994</v>
      </c>
      <c r="D61" s="135">
        <f t="shared" si="2"/>
        <v>-13508.48000000004</v>
      </c>
      <c r="E61" s="137">
        <f t="shared" si="3"/>
        <v>2.185380707096416</v>
      </c>
      <c r="H61" s="77">
        <f>+H17-H60</f>
        <v>-13508.48000000004</v>
      </c>
    </row>
    <row r="62" spans="1:11" x14ac:dyDescent="0.25">
      <c r="A62" s="132" t="s">
        <v>74</v>
      </c>
      <c r="B62" s="133"/>
      <c r="C62" s="133"/>
      <c r="D62" s="133"/>
      <c r="E62" s="133"/>
      <c r="H62" s="95"/>
    </row>
    <row r="63" spans="1:11" ht="15.75" thickBot="1" x14ac:dyDescent="0.3">
      <c r="A63" s="132" t="s">
        <v>73</v>
      </c>
      <c r="B63" s="134">
        <f>1257755.8</f>
        <v>1257755.8</v>
      </c>
      <c r="C63" s="133"/>
      <c r="D63" s="134">
        <f t="shared" ref="D63:D70" si="4">(B63)-(C63)</f>
        <v>1257755.8</v>
      </c>
      <c r="E63" s="136" t="str">
        <f t="shared" ref="E63:E70" si="5">IF(C63=0,"",(B63)/(C63))</f>
        <v/>
      </c>
      <c r="H63" s="96">
        <f>+H61+H62</f>
        <v>-13508.48000000004</v>
      </c>
    </row>
    <row r="64" spans="1:11" ht="15.75" thickTop="1" x14ac:dyDescent="0.25">
      <c r="A64" s="132" t="s">
        <v>72</v>
      </c>
      <c r="B64" s="133"/>
      <c r="C64" s="133"/>
      <c r="D64" s="134">
        <f t="shared" si="4"/>
        <v>0</v>
      </c>
      <c r="E64" s="136" t="str">
        <f t="shared" si="5"/>
        <v/>
      </c>
    </row>
    <row r="65" spans="1:8" x14ac:dyDescent="0.25">
      <c r="A65" s="132" t="s">
        <v>71</v>
      </c>
      <c r="B65" s="134">
        <f>179129.1</f>
        <v>179129.1</v>
      </c>
      <c r="C65" s="133"/>
      <c r="D65" s="134">
        <f t="shared" si="4"/>
        <v>179129.1</v>
      </c>
      <c r="E65" s="136" t="str">
        <f t="shared" si="5"/>
        <v/>
      </c>
      <c r="G65" s="97" t="s">
        <v>226</v>
      </c>
      <c r="H65" s="77">
        <f>+H17</f>
        <v>-32761.700000000012</v>
      </c>
    </row>
    <row r="66" spans="1:8" x14ac:dyDescent="0.25">
      <c r="A66" s="132" t="s">
        <v>188</v>
      </c>
      <c r="B66" s="134">
        <f>32899.37</f>
        <v>32899.370000000003</v>
      </c>
      <c r="C66" s="133"/>
      <c r="D66" s="134">
        <f t="shared" si="4"/>
        <v>32899.370000000003</v>
      </c>
      <c r="E66" s="136" t="str">
        <f t="shared" si="5"/>
        <v/>
      </c>
      <c r="G66" s="97" t="s">
        <v>227</v>
      </c>
      <c r="H66" s="78">
        <f>SUM(H23:H59)</f>
        <v>-19253.22</v>
      </c>
    </row>
    <row r="67" spans="1:8" ht="15.75" thickBot="1" x14ac:dyDescent="0.3">
      <c r="A67" s="132" t="s">
        <v>70</v>
      </c>
      <c r="B67" s="134">
        <f>545468.42</f>
        <v>545468.42000000004</v>
      </c>
      <c r="C67" s="133"/>
      <c r="D67" s="134">
        <f t="shared" si="4"/>
        <v>545468.42000000004</v>
      </c>
      <c r="E67" s="136" t="str">
        <f t="shared" si="5"/>
        <v/>
      </c>
      <c r="H67" s="96">
        <f>+H65-H66</f>
        <v>-13508.48000000001</v>
      </c>
    </row>
    <row r="68" spans="1:8" ht="15.75" thickTop="1" x14ac:dyDescent="0.25">
      <c r="A68" s="132" t="s">
        <v>69</v>
      </c>
      <c r="B68" s="134">
        <f>-46963.83</f>
        <v>-46963.83</v>
      </c>
      <c r="C68" s="133"/>
      <c r="D68" s="134">
        <f t="shared" si="4"/>
        <v>-46963.83</v>
      </c>
      <c r="E68" s="136" t="str">
        <f t="shared" si="5"/>
        <v/>
      </c>
    </row>
    <row r="69" spans="1:8" x14ac:dyDescent="0.25">
      <c r="A69" s="132" t="s">
        <v>68</v>
      </c>
      <c r="B69" s="135">
        <f>((((B64)+(B65))+(B66))+(B67))+(B68)</f>
        <v>710533.06</v>
      </c>
      <c r="C69" s="135">
        <f>((((C64)+(C65))+(C66))+(C67))+(C68)</f>
        <v>0</v>
      </c>
      <c r="D69" s="135">
        <f t="shared" si="4"/>
        <v>710533.06</v>
      </c>
      <c r="E69" s="137" t="str">
        <f t="shared" si="5"/>
        <v/>
      </c>
    </row>
    <row r="70" spans="1:8" x14ac:dyDescent="0.25">
      <c r="A70" s="132" t="s">
        <v>67</v>
      </c>
      <c r="B70" s="135">
        <f>(B63)+(B69)</f>
        <v>1968288.86</v>
      </c>
      <c r="C70" s="135">
        <f>(C63)+(C69)</f>
        <v>0</v>
      </c>
      <c r="D70" s="135">
        <f t="shared" si="4"/>
        <v>1968288.86</v>
      </c>
      <c r="E70" s="137" t="str">
        <f t="shared" si="5"/>
        <v/>
      </c>
    </row>
    <row r="71" spans="1:8" x14ac:dyDescent="0.25">
      <c r="A71" s="132" t="s">
        <v>66</v>
      </c>
      <c r="B71" s="133"/>
      <c r="C71" s="133"/>
      <c r="D71" s="133"/>
      <c r="E71" s="133"/>
    </row>
    <row r="72" spans="1:8" x14ac:dyDescent="0.25">
      <c r="A72" s="132" t="s">
        <v>65</v>
      </c>
      <c r="B72" s="134">
        <f>1227300.38</f>
        <v>1227300.3799999999</v>
      </c>
      <c r="C72" s="133"/>
      <c r="D72" s="134">
        <f>(B72)-(C72)</f>
        <v>1227300.3799999999</v>
      </c>
      <c r="E72" s="136" t="str">
        <f>IF(C72=0,"",(B72)/(C72))</f>
        <v/>
      </c>
    </row>
    <row r="73" spans="1:8" x14ac:dyDescent="0.25">
      <c r="A73" s="132" t="s">
        <v>64</v>
      </c>
      <c r="B73" s="135">
        <f>B72</f>
        <v>1227300.3799999999</v>
      </c>
      <c r="C73" s="135">
        <f>C72</f>
        <v>0</v>
      </c>
      <c r="D73" s="135">
        <f>(B73)-(C73)</f>
        <v>1227300.3799999999</v>
      </c>
      <c r="E73" s="137" t="str">
        <f>IF(C73=0,"",(B73)/(C73))</f>
        <v/>
      </c>
    </row>
    <row r="74" spans="1:8" x14ac:dyDescent="0.25">
      <c r="A74" s="132" t="s">
        <v>63</v>
      </c>
      <c r="B74" s="135">
        <f>(B70)-(B73)</f>
        <v>740988.48000000021</v>
      </c>
      <c r="C74" s="135">
        <f>(C70)-(C73)</f>
        <v>0</v>
      </c>
      <c r="D74" s="135">
        <f>(B74)-(C74)</f>
        <v>740988.48000000021</v>
      </c>
      <c r="E74" s="137" t="str">
        <f>IF(C74=0,"",(B74)/(C74))</f>
        <v/>
      </c>
    </row>
    <row r="75" spans="1:8" x14ac:dyDescent="0.25">
      <c r="A75" s="132" t="s">
        <v>62</v>
      </c>
      <c r="B75" s="135">
        <f>(B61)+(B74)</f>
        <v>716084.10000000021</v>
      </c>
      <c r="C75" s="135">
        <f>(C61)+(C74)</f>
        <v>-11395.899999999994</v>
      </c>
      <c r="D75" s="135">
        <f>(B75)-(C75)</f>
        <v>727480.00000000023</v>
      </c>
      <c r="E75" s="137">
        <f>IF(C75=0,"",(B75)/(C75))</f>
        <v>-62.836994006616465</v>
      </c>
    </row>
    <row r="76" spans="1:8" x14ac:dyDescent="0.25">
      <c r="A76" s="132"/>
      <c r="B76" s="133"/>
      <c r="C76" s="133"/>
      <c r="D76" s="133"/>
      <c r="E76" s="133"/>
    </row>
    <row r="77" spans="1:8" x14ac:dyDescent="0.25">
      <c r="A77" s="271" t="s">
        <v>61</v>
      </c>
      <c r="B77" s="271"/>
      <c r="C77" s="271"/>
      <c r="D77" s="271"/>
      <c r="E77" s="271"/>
    </row>
    <row r="79" spans="1:8" x14ac:dyDescent="0.25">
      <c r="A79" s="267" t="s">
        <v>263</v>
      </c>
      <c r="B79" s="268"/>
      <c r="C79" s="268"/>
      <c r="D79" s="268"/>
      <c r="E79" s="268"/>
    </row>
    <row r="81" spans="1:5" x14ac:dyDescent="0.25">
      <c r="A81" s="3"/>
      <c r="B81" s="2"/>
      <c r="C81" s="2"/>
      <c r="D81" s="2"/>
      <c r="E81" s="2"/>
    </row>
    <row r="82" spans="1:5" x14ac:dyDescent="0.25">
      <c r="A82" s="3"/>
      <c r="B82" s="2"/>
      <c r="C82" s="2"/>
      <c r="D82" s="2"/>
      <c r="E82" s="2"/>
    </row>
    <row r="83" spans="1:5" x14ac:dyDescent="0.25">
      <c r="A83" s="3"/>
      <c r="B83" s="2"/>
      <c r="C83" s="2"/>
      <c r="D83" s="2"/>
      <c r="E83" s="2"/>
    </row>
    <row r="84" spans="1:5" x14ac:dyDescent="0.25">
      <c r="C84" s="82"/>
      <c r="D84" s="82"/>
    </row>
  </sheetData>
  <mergeCells count="6">
    <mergeCell ref="A1:E1"/>
    <mergeCell ref="A2:E2"/>
    <mergeCell ref="A3:E3"/>
    <mergeCell ref="A77:E77"/>
    <mergeCell ref="A79:E79"/>
    <mergeCell ref="B5:E5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D6EE-8833-489A-9481-C359AF2859AE}">
  <dimension ref="A1:AS247"/>
  <sheetViews>
    <sheetView showGridLines="0" tabSelected="1" zoomScale="110" zoomScaleNormal="11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L8" sqref="L8"/>
    </sheetView>
  </sheetViews>
  <sheetFormatPr defaultRowHeight="15" x14ac:dyDescent="0.25"/>
  <cols>
    <col min="1" max="1" width="22.140625" customWidth="1"/>
    <col min="2" max="2" width="32.85546875" customWidth="1"/>
    <col min="3" max="3" width="11.140625" hidden="1" customWidth="1"/>
    <col min="4" max="4" width="12" hidden="1" customWidth="1"/>
    <col min="5" max="5" width="11.140625" hidden="1" customWidth="1"/>
    <col min="6" max="7" width="10.28515625" hidden="1" customWidth="1"/>
    <col min="8" max="8" width="8.5703125" hidden="1" customWidth="1"/>
    <col min="9" max="11" width="11.140625" hidden="1" customWidth="1"/>
    <col min="12" max="12" width="12" customWidth="1"/>
    <col min="13" max="13" width="13.85546875" style="138" hidden="1" customWidth="1"/>
    <col min="14" max="16" width="13.5703125" hidden="1" customWidth="1"/>
    <col min="17" max="17" width="14.7109375" hidden="1" customWidth="1"/>
    <col min="18" max="18" width="13.28515625" style="140" hidden="1" customWidth="1"/>
    <col min="19" max="19" width="9.5703125" hidden="1" customWidth="1"/>
    <col min="20" max="20" width="10" hidden="1" customWidth="1"/>
    <col min="21" max="21" width="10.5703125" hidden="1" customWidth="1"/>
    <col min="22" max="22" width="10.7109375" hidden="1" customWidth="1"/>
    <col min="23" max="23" width="10.7109375" customWidth="1"/>
    <col min="24" max="24" width="11" customWidth="1"/>
    <col min="25" max="25" width="11.28515625" hidden="1" customWidth="1"/>
    <col min="26" max="26" width="2.5703125" hidden="1" customWidth="1"/>
    <col min="27" max="27" width="13.28515625" customWidth="1"/>
    <col min="28" max="28" width="10.5703125" bestFit="1" customWidth="1"/>
    <col min="29" max="29" width="2.5703125" customWidth="1"/>
    <col min="30" max="30" width="11.7109375" hidden="1" customWidth="1"/>
    <col min="31" max="31" width="11.85546875" hidden="1" customWidth="1"/>
    <col min="32" max="32" width="15.28515625" style="117" customWidth="1"/>
    <col min="33" max="33" width="9.5703125" bestFit="1" customWidth="1"/>
    <col min="34" max="34" width="51.7109375" customWidth="1"/>
    <col min="35" max="35" width="15" customWidth="1"/>
    <col min="36" max="36" width="9.5703125" bestFit="1" customWidth="1"/>
    <col min="38" max="38" width="9.5703125" bestFit="1" customWidth="1"/>
    <col min="39" max="39" width="10.5703125" bestFit="1" customWidth="1"/>
    <col min="43" max="43" width="9.5703125" bestFit="1" customWidth="1"/>
    <col min="44" max="44" width="10.5703125" bestFit="1" customWidth="1"/>
  </cols>
  <sheetData>
    <row r="1" spans="1:40" ht="18" x14ac:dyDescent="0.25">
      <c r="B1" s="269" t="s">
        <v>278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</row>
    <row r="2" spans="1:40" ht="18" x14ac:dyDescent="0.25">
      <c r="B2" s="269" t="s">
        <v>277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</row>
    <row r="3" spans="1:40" x14ac:dyDescent="0.25">
      <c r="B3" s="270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40" x14ac:dyDescent="0.25">
      <c r="M4" t="s">
        <v>238</v>
      </c>
      <c r="N4" s="276" t="s">
        <v>238</v>
      </c>
      <c r="O4" s="276"/>
      <c r="P4" s="276"/>
      <c r="Q4" s="276"/>
      <c r="R4" s="276"/>
      <c r="S4" s="276"/>
      <c r="T4" s="276"/>
      <c r="U4" s="276"/>
      <c r="V4" s="276"/>
      <c r="W4" s="102"/>
    </row>
    <row r="5" spans="1:40" ht="26.25" customHeight="1" thickBot="1" x14ac:dyDescent="0.3">
      <c r="B5" s="259"/>
      <c r="C5" s="94" t="s">
        <v>213</v>
      </c>
      <c r="D5" s="94" t="s">
        <v>214</v>
      </c>
      <c r="E5" s="94" t="s">
        <v>215</v>
      </c>
      <c r="F5" s="94" t="s">
        <v>216</v>
      </c>
      <c r="G5" s="94" t="s">
        <v>217</v>
      </c>
      <c r="H5" s="94" t="s">
        <v>218</v>
      </c>
      <c r="I5" s="94" t="s">
        <v>219</v>
      </c>
      <c r="J5" s="94" t="s">
        <v>220</v>
      </c>
      <c r="K5" s="94" t="s">
        <v>231</v>
      </c>
      <c r="L5" s="274" t="s">
        <v>189</v>
      </c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F5" s="175" t="s">
        <v>241</v>
      </c>
    </row>
    <row r="6" spans="1:40" ht="12.75" customHeight="1" x14ac:dyDescent="0.25">
      <c r="B6" s="260"/>
      <c r="C6" s="84"/>
      <c r="D6" s="84"/>
      <c r="E6" s="84"/>
      <c r="F6" s="84"/>
      <c r="G6" s="84"/>
      <c r="H6" s="84"/>
      <c r="I6" s="84"/>
      <c r="J6" s="84"/>
      <c r="K6" s="84"/>
      <c r="L6" s="84"/>
      <c r="M6" s="139"/>
      <c r="N6" s="84"/>
      <c r="O6" s="84"/>
      <c r="P6" s="84"/>
      <c r="Q6" s="108"/>
      <c r="R6" s="141"/>
      <c r="S6" s="84"/>
      <c r="T6" s="84"/>
      <c r="U6" s="84"/>
      <c r="V6" s="84"/>
      <c r="W6" s="84"/>
      <c r="X6" s="262"/>
      <c r="Y6" s="87"/>
      <c r="Z6" s="87"/>
      <c r="AA6" s="262"/>
      <c r="AB6" s="87"/>
      <c r="AF6" s="162"/>
    </row>
    <row r="7" spans="1:40" ht="42.75" customHeight="1" x14ac:dyDescent="0.25">
      <c r="B7" s="261"/>
      <c r="C7" s="84"/>
      <c r="D7" s="84"/>
      <c r="E7" s="84"/>
      <c r="F7" s="84"/>
      <c r="G7" s="84"/>
      <c r="H7" s="84"/>
      <c r="I7" s="84"/>
      <c r="J7" s="84"/>
      <c r="K7" s="84"/>
      <c r="L7" s="94" t="s">
        <v>309</v>
      </c>
      <c r="M7" s="153" t="s">
        <v>239</v>
      </c>
      <c r="N7" s="154" t="s">
        <v>186</v>
      </c>
      <c r="O7" s="154" t="s">
        <v>187</v>
      </c>
      <c r="P7" s="94" t="s">
        <v>240</v>
      </c>
      <c r="Q7" s="155" t="s">
        <v>0</v>
      </c>
      <c r="R7" s="156" t="s">
        <v>239</v>
      </c>
      <c r="S7" s="86" t="s">
        <v>186</v>
      </c>
      <c r="T7" s="86" t="s">
        <v>187</v>
      </c>
      <c r="U7" s="86" t="s">
        <v>240</v>
      </c>
      <c r="V7" s="86" t="s">
        <v>0</v>
      </c>
      <c r="W7" s="94" t="s">
        <v>276</v>
      </c>
      <c r="X7" s="155" t="s">
        <v>308</v>
      </c>
      <c r="Y7" s="130" t="s">
        <v>197</v>
      </c>
      <c r="Z7" s="94" t="s">
        <v>198</v>
      </c>
      <c r="AA7" s="155" t="s">
        <v>274</v>
      </c>
      <c r="AB7" s="94" t="s">
        <v>199</v>
      </c>
      <c r="AC7" s="84"/>
      <c r="AD7" s="118" t="s">
        <v>197</v>
      </c>
      <c r="AE7" s="84" t="s">
        <v>198</v>
      </c>
      <c r="AF7" s="163" t="s">
        <v>251</v>
      </c>
      <c r="AH7" s="94" t="s">
        <v>264</v>
      </c>
      <c r="AN7" t="s">
        <v>285</v>
      </c>
    </row>
    <row r="8" spans="1:40" x14ac:dyDescent="0.25">
      <c r="B8" s="159"/>
      <c r="C8" s="2"/>
      <c r="D8" s="2"/>
      <c r="E8" s="2"/>
      <c r="F8" s="2"/>
      <c r="G8" s="2"/>
      <c r="H8" s="2"/>
      <c r="I8" s="2"/>
      <c r="J8" s="2"/>
      <c r="K8" s="2"/>
      <c r="L8" s="157"/>
      <c r="Q8" s="109"/>
      <c r="X8" s="237"/>
      <c r="AA8" s="237"/>
    </row>
    <row r="9" spans="1:40" hidden="1" x14ac:dyDescent="0.25">
      <c r="B9" s="159" t="s">
        <v>122</v>
      </c>
      <c r="C9" s="89"/>
      <c r="D9" s="89"/>
      <c r="E9" s="89"/>
      <c r="F9" s="89"/>
      <c r="G9" s="89"/>
      <c r="H9" s="89"/>
      <c r="I9" s="89"/>
      <c r="J9" s="89"/>
      <c r="K9" s="90">
        <f t="shared" ref="K9:K14" si="0">(((G9)+(H9))+(I9))+(J9)</f>
        <v>0</v>
      </c>
      <c r="L9" s="158">
        <f t="shared" ref="L9:L14" si="1">((((C9)+(D9))+(E9))+(F9))+(K9)</f>
        <v>0</v>
      </c>
      <c r="M9" s="144"/>
      <c r="N9" s="82"/>
      <c r="O9" s="82"/>
      <c r="P9" s="82">
        <f>SUM(N9:O9)</f>
        <v>0</v>
      </c>
      <c r="Q9" s="145"/>
      <c r="R9" s="146"/>
      <c r="S9" s="82"/>
      <c r="T9" s="82"/>
      <c r="U9" s="82"/>
      <c r="V9" s="82"/>
      <c r="W9" s="82"/>
      <c r="X9" s="145"/>
      <c r="Y9" s="82"/>
      <c r="Z9" s="82"/>
      <c r="AA9" s="145"/>
      <c r="AB9" s="82"/>
      <c r="AC9" s="82"/>
      <c r="AD9" s="82"/>
      <c r="AE9" s="82"/>
      <c r="AF9" s="164"/>
    </row>
    <row r="10" spans="1:40" x14ac:dyDescent="0.25">
      <c r="B10" s="159" t="s">
        <v>267</v>
      </c>
      <c r="C10" s="89"/>
      <c r="D10" s="89"/>
      <c r="E10" s="89"/>
      <c r="F10" s="89"/>
      <c r="G10" s="90">
        <f>24588.52</f>
        <v>24588.52</v>
      </c>
      <c r="H10" s="90">
        <f>540</f>
        <v>540</v>
      </c>
      <c r="I10" s="89"/>
      <c r="J10" s="89"/>
      <c r="K10" s="90">
        <f t="shared" si="0"/>
        <v>25128.52</v>
      </c>
      <c r="L10" s="176">
        <f t="shared" si="1"/>
        <v>25128.52</v>
      </c>
      <c r="M10" s="177"/>
      <c r="N10" s="178"/>
      <c r="O10" s="178"/>
      <c r="P10" s="178">
        <f>SUM(N10:O10)</f>
        <v>0</v>
      </c>
      <c r="Q10" s="179"/>
      <c r="R10" s="180">
        <v>1000</v>
      </c>
      <c r="S10" s="178">
        <v>2500</v>
      </c>
      <c r="T10" s="178">
        <v>1500</v>
      </c>
      <c r="U10" s="178">
        <f>SUM(S10:T10)</f>
        <v>4000</v>
      </c>
      <c r="V10" s="178">
        <f>+U10+K10</f>
        <v>29128.52</v>
      </c>
      <c r="W10" s="178">
        <f>+U10+P10</f>
        <v>4000</v>
      </c>
      <c r="X10" s="238">
        <f>+V10+Q10</f>
        <v>29128.52</v>
      </c>
      <c r="Y10" s="181">
        <v>32000</v>
      </c>
      <c r="Z10" s="181"/>
      <c r="AA10" s="238">
        <f>+Y10+Z10</f>
        <v>32000</v>
      </c>
      <c r="AB10" s="178">
        <f>+X10-AA10</f>
        <v>-2871.4799999999996</v>
      </c>
      <c r="AC10" s="178"/>
      <c r="AD10" s="178">
        <v>30000</v>
      </c>
      <c r="AE10" s="178"/>
      <c r="AF10" s="182">
        <f>+AD10+AE10</f>
        <v>30000</v>
      </c>
      <c r="AH10" t="s">
        <v>279</v>
      </c>
    </row>
    <row r="11" spans="1:40" hidden="1" x14ac:dyDescent="0.25">
      <c r="B11" s="159" t="s">
        <v>120</v>
      </c>
      <c r="C11" s="89"/>
      <c r="D11" s="89"/>
      <c r="E11" s="89"/>
      <c r="F11" s="89"/>
      <c r="G11" s="89"/>
      <c r="H11" s="89"/>
      <c r="I11" s="89"/>
      <c r="J11" s="89"/>
      <c r="K11" s="90">
        <f t="shared" si="0"/>
        <v>0</v>
      </c>
      <c r="L11" s="176">
        <f t="shared" si="1"/>
        <v>0</v>
      </c>
      <c r="M11" s="177"/>
      <c r="N11" s="178"/>
      <c r="O11" s="178"/>
      <c r="P11" s="178"/>
      <c r="Q11" s="179"/>
      <c r="R11" s="180"/>
      <c r="S11" s="178"/>
      <c r="T11" s="178"/>
      <c r="U11" s="178">
        <f t="shared" ref="U11:U12" si="2">SUM(S11:T11)</f>
        <v>0</v>
      </c>
      <c r="V11" s="178">
        <f t="shared" ref="V11:V12" si="3">+U11+K11</f>
        <v>0</v>
      </c>
      <c r="W11" s="178">
        <f t="shared" ref="W11:W12" si="4">+U11+P11</f>
        <v>0</v>
      </c>
      <c r="X11" s="238">
        <f t="shared" ref="X11:X12" si="5">+V11+Q11</f>
        <v>0</v>
      </c>
      <c r="Y11" s="181"/>
      <c r="Z11" s="181"/>
      <c r="AA11" s="238">
        <f t="shared" ref="AA11:AA12" si="6">+Y11+Z11</f>
        <v>0</v>
      </c>
      <c r="AB11" s="178"/>
      <c r="AC11" s="178"/>
      <c r="AD11" s="178"/>
      <c r="AE11" s="178"/>
      <c r="AF11" s="182"/>
    </row>
    <row r="12" spans="1:40" x14ac:dyDescent="0.25">
      <c r="B12" s="159" t="s">
        <v>268</v>
      </c>
      <c r="C12" s="89"/>
      <c r="D12" s="89"/>
      <c r="E12" s="89"/>
      <c r="F12" s="89"/>
      <c r="G12" s="90">
        <f>97673.03</f>
        <v>97673.03</v>
      </c>
      <c r="H12" s="89"/>
      <c r="I12" s="89"/>
      <c r="J12" s="89"/>
      <c r="K12" s="90">
        <v>134056.49</v>
      </c>
      <c r="L12" s="176">
        <f t="shared" si="1"/>
        <v>134056.49</v>
      </c>
      <c r="M12" s="183"/>
      <c r="N12" s="184"/>
      <c r="O12" s="184"/>
      <c r="P12" s="184"/>
      <c r="Q12" s="185"/>
      <c r="R12" s="186">
        <v>36383.46</v>
      </c>
      <c r="S12" s="184"/>
      <c r="T12" s="184">
        <v>0</v>
      </c>
      <c r="U12" s="178">
        <f t="shared" si="2"/>
        <v>0</v>
      </c>
      <c r="V12" s="178">
        <f t="shared" si="3"/>
        <v>134056.49</v>
      </c>
      <c r="W12" s="178">
        <f t="shared" si="4"/>
        <v>0</v>
      </c>
      <c r="X12" s="238">
        <f t="shared" si="5"/>
        <v>134056.49</v>
      </c>
      <c r="Y12" s="187">
        <v>155000</v>
      </c>
      <c r="Z12" s="187"/>
      <c r="AA12" s="238">
        <f t="shared" si="6"/>
        <v>155000</v>
      </c>
      <c r="AB12" s="178">
        <f>+X12-AA12</f>
        <v>-20943.510000000009</v>
      </c>
      <c r="AC12" s="178"/>
      <c r="AD12" s="184">
        <v>145000</v>
      </c>
      <c r="AE12" s="184"/>
      <c r="AF12" s="182">
        <f>+AD12+AE12</f>
        <v>145000</v>
      </c>
      <c r="AH12" t="s">
        <v>280</v>
      </c>
    </row>
    <row r="13" spans="1:40" x14ac:dyDescent="0.25">
      <c r="B13" s="159" t="s">
        <v>270</v>
      </c>
      <c r="C13" s="88">
        <f t="shared" ref="C13:J13" si="7">(C11)+(C12)</f>
        <v>0</v>
      </c>
      <c r="D13" s="88">
        <f t="shared" si="7"/>
        <v>0</v>
      </c>
      <c r="E13" s="88">
        <f t="shared" si="7"/>
        <v>0</v>
      </c>
      <c r="F13" s="88">
        <f t="shared" si="7"/>
        <v>0</v>
      </c>
      <c r="G13" s="88">
        <f t="shared" si="7"/>
        <v>97673.03</v>
      </c>
      <c r="H13" s="88">
        <f t="shared" si="7"/>
        <v>0</v>
      </c>
      <c r="I13" s="88">
        <f t="shared" si="7"/>
        <v>0</v>
      </c>
      <c r="J13" s="88">
        <f t="shared" si="7"/>
        <v>0</v>
      </c>
      <c r="K13" s="88">
        <f>+K12</f>
        <v>134056.49</v>
      </c>
      <c r="L13" s="188">
        <f t="shared" si="1"/>
        <v>134056.49</v>
      </c>
      <c r="M13" s="189">
        <f t="shared" ref="M13:AF13" si="8">(M11)+(M12)</f>
        <v>0</v>
      </c>
      <c r="N13" s="190">
        <f t="shared" si="8"/>
        <v>0</v>
      </c>
      <c r="O13" s="190">
        <f t="shared" si="8"/>
        <v>0</v>
      </c>
      <c r="P13" s="190">
        <f t="shared" si="8"/>
        <v>0</v>
      </c>
      <c r="Q13" s="191">
        <f t="shared" si="8"/>
        <v>0</v>
      </c>
      <c r="R13" s="192">
        <f t="shared" si="8"/>
        <v>36383.46</v>
      </c>
      <c r="S13" s="190">
        <f t="shared" si="8"/>
        <v>0</v>
      </c>
      <c r="T13" s="190">
        <f t="shared" si="8"/>
        <v>0</v>
      </c>
      <c r="U13" s="190">
        <f t="shared" si="8"/>
        <v>0</v>
      </c>
      <c r="V13" s="190">
        <f t="shared" si="8"/>
        <v>134056.49</v>
      </c>
      <c r="W13" s="190">
        <f t="shared" si="8"/>
        <v>0</v>
      </c>
      <c r="X13" s="239">
        <f t="shared" si="8"/>
        <v>134056.49</v>
      </c>
      <c r="Y13" s="193">
        <f t="shared" si="8"/>
        <v>155000</v>
      </c>
      <c r="Z13" s="193">
        <f t="shared" si="8"/>
        <v>0</v>
      </c>
      <c r="AA13" s="239">
        <f t="shared" si="8"/>
        <v>155000</v>
      </c>
      <c r="AB13" s="190">
        <f t="shared" si="8"/>
        <v>-20943.510000000009</v>
      </c>
      <c r="AC13" s="190"/>
      <c r="AD13" s="190">
        <f t="shared" si="8"/>
        <v>145000</v>
      </c>
      <c r="AE13" s="190">
        <f t="shared" si="8"/>
        <v>0</v>
      </c>
      <c r="AF13" s="194">
        <f t="shared" si="8"/>
        <v>145000</v>
      </c>
    </row>
    <row r="14" spans="1:40" ht="18.75" x14ac:dyDescent="0.3">
      <c r="A14" s="160" t="s">
        <v>273</v>
      </c>
      <c r="B14" s="159" t="s">
        <v>269</v>
      </c>
      <c r="C14" s="147">
        <f>33333.4</f>
        <v>33333.4</v>
      </c>
      <c r="D14" s="148"/>
      <c r="E14" s="148"/>
      <c r="F14" s="148"/>
      <c r="G14" s="148"/>
      <c r="H14" s="148"/>
      <c r="I14" s="148"/>
      <c r="J14" s="148"/>
      <c r="K14" s="147">
        <f t="shared" si="0"/>
        <v>0</v>
      </c>
      <c r="L14" s="195">
        <f t="shared" si="1"/>
        <v>33333.4</v>
      </c>
      <c r="M14" s="196">
        <v>3333.3333333333335</v>
      </c>
      <c r="N14" s="197">
        <v>3333.3333333333335</v>
      </c>
      <c r="O14" s="197">
        <v>3333.3333333333335</v>
      </c>
      <c r="P14" s="184">
        <f>SUM(N14:O14)</f>
        <v>6666.666666666667</v>
      </c>
      <c r="Q14" s="198">
        <f>+P14+C14</f>
        <v>40000.066666666666</v>
      </c>
      <c r="R14" s="199"/>
      <c r="S14" s="184"/>
      <c r="T14" s="184"/>
      <c r="U14" s="184"/>
      <c r="V14" s="184">
        <f>+U14+K14</f>
        <v>0</v>
      </c>
      <c r="W14" s="184">
        <f>+U14+P14</f>
        <v>6666.666666666667</v>
      </c>
      <c r="X14" s="240">
        <f>+V14+Q14</f>
        <v>40000.066666666666</v>
      </c>
      <c r="Y14" s="187"/>
      <c r="Z14" s="187">
        <v>40000</v>
      </c>
      <c r="AA14" s="238">
        <f>+Y14+Z14</f>
        <v>40000</v>
      </c>
      <c r="AB14" s="184">
        <f>+X14-AA14</f>
        <v>6.6666666665696539E-2</v>
      </c>
      <c r="AC14" s="184"/>
      <c r="AD14" s="184"/>
      <c r="AE14" s="184">
        <v>50000</v>
      </c>
      <c r="AF14" s="182">
        <f>+AD14+AE14</f>
        <v>50000</v>
      </c>
      <c r="AH14" t="s">
        <v>281</v>
      </c>
    </row>
    <row r="15" spans="1:40" x14ac:dyDescent="0.25">
      <c r="B15" s="159" t="s">
        <v>203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200">
        <v>24904</v>
      </c>
      <c r="M15" s="201"/>
      <c r="N15" s="202"/>
      <c r="O15" s="202"/>
      <c r="P15" s="202"/>
      <c r="Q15" s="203"/>
      <c r="R15" s="204"/>
      <c r="S15" s="205"/>
      <c r="T15" s="205"/>
      <c r="U15" s="205"/>
      <c r="V15" s="205"/>
      <c r="W15" s="205">
        <v>33571</v>
      </c>
      <c r="X15" s="238">
        <v>58476</v>
      </c>
      <c r="Y15" s="206"/>
      <c r="Z15" s="206"/>
      <c r="AA15" s="243">
        <v>50815</v>
      </c>
      <c r="AB15" s="207">
        <v>7661</v>
      </c>
      <c r="AC15" s="207"/>
      <c r="AD15" s="207"/>
      <c r="AE15" s="207"/>
      <c r="AF15" s="208">
        <v>55950</v>
      </c>
    </row>
    <row r="16" spans="1:40" x14ac:dyDescent="0.25">
      <c r="B16" s="159" t="s">
        <v>271</v>
      </c>
      <c r="C16" s="92">
        <f t="shared" ref="C16:J16" si="9">(((C9)+(C10))+(C13))+(C14)</f>
        <v>33333.4</v>
      </c>
      <c r="D16" s="92">
        <f t="shared" si="9"/>
        <v>0</v>
      </c>
      <c r="E16" s="92">
        <f t="shared" si="9"/>
        <v>0</v>
      </c>
      <c r="F16" s="92">
        <f t="shared" si="9"/>
        <v>0</v>
      </c>
      <c r="G16" s="92">
        <f t="shared" si="9"/>
        <v>122261.55</v>
      </c>
      <c r="H16" s="92">
        <f t="shared" si="9"/>
        <v>540</v>
      </c>
      <c r="I16" s="92">
        <f t="shared" si="9"/>
        <v>0</v>
      </c>
      <c r="J16" s="92">
        <f t="shared" si="9"/>
        <v>0</v>
      </c>
      <c r="K16" s="92">
        <f>+K13+K14+K10</f>
        <v>159185.00999999998</v>
      </c>
      <c r="L16" s="209">
        <f>((((C16)+(D16))+(E16))+(F16))+(K16)+L15</f>
        <v>217422.40999999997</v>
      </c>
      <c r="M16" s="189">
        <f t="shared" ref="M16:V16" si="10">(((M9)+(M10))+(M13))+(M14)</f>
        <v>3333.3333333333335</v>
      </c>
      <c r="N16" s="190">
        <f t="shared" si="10"/>
        <v>3333.3333333333335</v>
      </c>
      <c r="O16" s="190">
        <f t="shared" si="10"/>
        <v>3333.3333333333335</v>
      </c>
      <c r="P16" s="190">
        <f t="shared" si="10"/>
        <v>6666.666666666667</v>
      </c>
      <c r="Q16" s="191">
        <f t="shared" si="10"/>
        <v>40000.066666666666</v>
      </c>
      <c r="R16" s="192">
        <f t="shared" si="10"/>
        <v>37383.46</v>
      </c>
      <c r="S16" s="190">
        <f t="shared" si="10"/>
        <v>2500</v>
      </c>
      <c r="T16" s="190">
        <f t="shared" si="10"/>
        <v>1500</v>
      </c>
      <c r="U16" s="190">
        <f t="shared" si="10"/>
        <v>4000</v>
      </c>
      <c r="V16" s="190">
        <f t="shared" si="10"/>
        <v>163185.00999999998</v>
      </c>
      <c r="W16" s="190">
        <f t="shared" ref="W16:AB16" si="11">(((W9)+(W10))+(W13))+(W14)+W15</f>
        <v>44237.666666666672</v>
      </c>
      <c r="X16" s="191">
        <f t="shared" si="11"/>
        <v>261661.07666666666</v>
      </c>
      <c r="Y16" s="193">
        <f t="shared" si="11"/>
        <v>187000</v>
      </c>
      <c r="Z16" s="193">
        <f t="shared" si="11"/>
        <v>40000</v>
      </c>
      <c r="AA16" s="191">
        <f t="shared" si="11"/>
        <v>277815</v>
      </c>
      <c r="AB16" s="190">
        <f t="shared" si="11"/>
        <v>-16153.923333333343</v>
      </c>
      <c r="AC16" s="190"/>
      <c r="AD16" s="190">
        <f>(((AD9)+(AD10))+(AD13))+(AD14)+AD15</f>
        <v>175000</v>
      </c>
      <c r="AE16" s="190">
        <f>(((AE9)+(AE10))+(AE13))+(AE14)+AE15</f>
        <v>50000</v>
      </c>
      <c r="AF16" s="194">
        <f>(((AF9)+(AF10))+(AF13))+(AF14)+AF15</f>
        <v>280950</v>
      </c>
    </row>
    <row r="17" spans="1:45" x14ac:dyDescent="0.25">
      <c r="B17" s="159" t="s">
        <v>272</v>
      </c>
      <c r="C17" s="89"/>
      <c r="D17" s="89"/>
      <c r="E17" s="89"/>
      <c r="F17" s="89"/>
      <c r="G17" s="90">
        <f>719.89</f>
        <v>719.89</v>
      </c>
      <c r="H17" s="89"/>
      <c r="I17" s="89"/>
      <c r="J17" s="89"/>
      <c r="K17" s="90">
        <f t="shared" ref="K17" si="12">(((G17)+(H17))+(I17))+(J17)</f>
        <v>719.89</v>
      </c>
      <c r="L17" s="176">
        <f t="shared" ref="L17" si="13">((((C17)+(D17))+(E17))+(F17))+(K17)</f>
        <v>719.89</v>
      </c>
      <c r="M17" s="183"/>
      <c r="N17" s="184"/>
      <c r="O17" s="184"/>
      <c r="P17" s="184"/>
      <c r="Q17" s="185"/>
      <c r="R17" s="199"/>
      <c r="S17" s="184"/>
      <c r="T17" s="184"/>
      <c r="U17" s="178">
        <f>SUM(R17:T17)</f>
        <v>0</v>
      </c>
      <c r="V17" s="178">
        <f>+U17+K17</f>
        <v>719.89</v>
      </c>
      <c r="W17" s="184">
        <f>+U17+P17</f>
        <v>0</v>
      </c>
      <c r="X17" s="238">
        <f>+V17+Q17</f>
        <v>719.89</v>
      </c>
      <c r="Y17" s="187"/>
      <c r="Z17" s="187"/>
      <c r="AA17" s="240">
        <v>0</v>
      </c>
      <c r="AB17" s="184">
        <f>+X17-AA17</f>
        <v>719.89</v>
      </c>
      <c r="AC17" s="184"/>
      <c r="AD17" s="184"/>
      <c r="AE17" s="184"/>
      <c r="AF17" s="210"/>
    </row>
    <row r="18" spans="1:45" hidden="1" x14ac:dyDescent="0.25">
      <c r="C18" s="88">
        <f t="shared" ref="C18:AF18" si="14">(C16)+(C17)</f>
        <v>33333.4</v>
      </c>
      <c r="D18" s="88">
        <f t="shared" si="14"/>
        <v>0</v>
      </c>
      <c r="E18" s="88">
        <f t="shared" si="14"/>
        <v>0</v>
      </c>
      <c r="F18" s="88">
        <f t="shared" si="14"/>
        <v>0</v>
      </c>
      <c r="G18" s="88">
        <f t="shared" si="14"/>
        <v>122981.44</v>
      </c>
      <c r="H18" s="88">
        <f t="shared" si="14"/>
        <v>540</v>
      </c>
      <c r="I18" s="88">
        <f t="shared" si="14"/>
        <v>0</v>
      </c>
      <c r="J18" s="88">
        <f t="shared" si="14"/>
        <v>0</v>
      </c>
      <c r="K18" s="88">
        <f t="shared" si="14"/>
        <v>159904.9</v>
      </c>
      <c r="L18" s="188">
        <f t="shared" si="14"/>
        <v>218142.3</v>
      </c>
      <c r="M18" s="189">
        <f t="shared" si="14"/>
        <v>3333.3333333333335</v>
      </c>
      <c r="N18" s="190">
        <f t="shared" si="14"/>
        <v>3333.3333333333335</v>
      </c>
      <c r="O18" s="190">
        <f t="shared" si="14"/>
        <v>3333.3333333333335</v>
      </c>
      <c r="P18" s="190">
        <f t="shared" si="14"/>
        <v>6666.666666666667</v>
      </c>
      <c r="Q18" s="211">
        <f t="shared" si="14"/>
        <v>40000.066666666666</v>
      </c>
      <c r="R18" s="192">
        <f t="shared" si="14"/>
        <v>37383.46</v>
      </c>
      <c r="S18" s="190">
        <f t="shared" si="14"/>
        <v>2500</v>
      </c>
      <c r="T18" s="190">
        <f t="shared" si="14"/>
        <v>1500</v>
      </c>
      <c r="U18" s="190">
        <f t="shared" si="14"/>
        <v>4000</v>
      </c>
      <c r="V18" s="190">
        <f t="shared" si="14"/>
        <v>163904.9</v>
      </c>
      <c r="W18" s="190">
        <f t="shared" ref="W18" si="15">(W16)+(W17)</f>
        <v>44237.666666666672</v>
      </c>
      <c r="X18" s="239">
        <f t="shared" si="14"/>
        <v>262380.96666666667</v>
      </c>
      <c r="Y18" s="193">
        <f t="shared" si="14"/>
        <v>187000</v>
      </c>
      <c r="Z18" s="193">
        <f t="shared" si="14"/>
        <v>40000</v>
      </c>
      <c r="AA18" s="239">
        <f t="shared" si="14"/>
        <v>277815</v>
      </c>
      <c r="AB18" s="190">
        <f t="shared" si="14"/>
        <v>-15434.033333333344</v>
      </c>
      <c r="AC18" s="190"/>
      <c r="AD18" s="190">
        <f t="shared" si="14"/>
        <v>175000</v>
      </c>
      <c r="AE18" s="190">
        <f t="shared" si="14"/>
        <v>50000</v>
      </c>
      <c r="AF18" s="194">
        <f t="shared" si="14"/>
        <v>280950</v>
      </c>
    </row>
    <row r="19" spans="1:45" x14ac:dyDescent="0.25">
      <c r="B19" s="159" t="s">
        <v>116</v>
      </c>
      <c r="C19" s="88">
        <f t="shared" ref="C19:AF19" si="16">(C18)-(0)</f>
        <v>33333.4</v>
      </c>
      <c r="D19" s="88">
        <f t="shared" si="16"/>
        <v>0</v>
      </c>
      <c r="E19" s="88">
        <f t="shared" si="16"/>
        <v>0</v>
      </c>
      <c r="F19" s="88">
        <f t="shared" si="16"/>
        <v>0</v>
      </c>
      <c r="G19" s="88">
        <f t="shared" si="16"/>
        <v>122981.44</v>
      </c>
      <c r="H19" s="88">
        <f t="shared" si="16"/>
        <v>540</v>
      </c>
      <c r="I19" s="88">
        <f t="shared" si="16"/>
        <v>0</v>
      </c>
      <c r="J19" s="88">
        <f t="shared" si="16"/>
        <v>0</v>
      </c>
      <c r="K19" s="88">
        <f t="shared" si="16"/>
        <v>159904.9</v>
      </c>
      <c r="L19" s="188">
        <f t="shared" si="16"/>
        <v>218142.3</v>
      </c>
      <c r="M19" s="189">
        <f t="shared" si="16"/>
        <v>3333.3333333333335</v>
      </c>
      <c r="N19" s="190">
        <f t="shared" si="16"/>
        <v>3333.3333333333335</v>
      </c>
      <c r="O19" s="190">
        <f t="shared" si="16"/>
        <v>3333.3333333333335</v>
      </c>
      <c r="P19" s="190">
        <f t="shared" si="16"/>
        <v>6666.666666666667</v>
      </c>
      <c r="Q19" s="191">
        <f t="shared" si="16"/>
        <v>40000.066666666666</v>
      </c>
      <c r="R19" s="192">
        <f t="shared" si="16"/>
        <v>37383.46</v>
      </c>
      <c r="S19" s="190">
        <f t="shared" si="16"/>
        <v>2500</v>
      </c>
      <c r="T19" s="190">
        <f t="shared" si="16"/>
        <v>1500</v>
      </c>
      <c r="U19" s="190">
        <f t="shared" si="16"/>
        <v>4000</v>
      </c>
      <c r="V19" s="190">
        <f t="shared" si="16"/>
        <v>163904.9</v>
      </c>
      <c r="W19" s="190">
        <f t="shared" ref="W19" si="17">(W18)-(0)</f>
        <v>44237.666666666672</v>
      </c>
      <c r="X19" s="239">
        <f t="shared" si="16"/>
        <v>262380.96666666667</v>
      </c>
      <c r="Y19" s="193">
        <f t="shared" si="16"/>
        <v>187000</v>
      </c>
      <c r="Z19" s="193">
        <f t="shared" si="16"/>
        <v>40000</v>
      </c>
      <c r="AA19" s="239">
        <f t="shared" si="16"/>
        <v>277815</v>
      </c>
      <c r="AB19" s="190">
        <f t="shared" si="16"/>
        <v>-15434.033333333344</v>
      </c>
      <c r="AC19" s="190"/>
      <c r="AD19" s="190">
        <f t="shared" si="16"/>
        <v>175000</v>
      </c>
      <c r="AE19" s="190">
        <f t="shared" si="16"/>
        <v>50000</v>
      </c>
      <c r="AF19" s="194">
        <f t="shared" si="16"/>
        <v>280950</v>
      </c>
    </row>
    <row r="20" spans="1:45" x14ac:dyDescent="0.25">
      <c r="A20" s="109"/>
      <c r="B20" s="165"/>
      <c r="C20" s="150"/>
      <c r="D20" s="150"/>
      <c r="E20" s="150"/>
      <c r="F20" s="150"/>
      <c r="G20" s="150"/>
      <c r="H20" s="150"/>
      <c r="I20" s="150"/>
      <c r="J20" s="150"/>
      <c r="K20" s="150"/>
      <c r="L20" s="212"/>
      <c r="M20" s="213"/>
      <c r="N20" s="214"/>
      <c r="O20" s="214"/>
      <c r="P20" s="214"/>
      <c r="Q20" s="215"/>
      <c r="R20" s="216"/>
      <c r="S20" s="214"/>
      <c r="T20" s="214"/>
      <c r="U20" s="214"/>
      <c r="V20" s="214"/>
      <c r="W20" s="214"/>
      <c r="X20" s="241"/>
      <c r="Y20" s="217"/>
      <c r="Z20" s="217"/>
      <c r="AA20" s="241"/>
      <c r="AB20" s="214"/>
      <c r="AC20" s="214"/>
      <c r="AD20" s="214"/>
      <c r="AE20" s="214"/>
      <c r="AF20" s="218"/>
    </row>
    <row r="21" spans="1:45" x14ac:dyDescent="0.25">
      <c r="A21" s="109"/>
      <c r="B21" s="3"/>
      <c r="C21" s="92"/>
      <c r="D21" s="92"/>
      <c r="E21" s="92"/>
      <c r="F21" s="92"/>
      <c r="G21" s="92"/>
      <c r="H21" s="92"/>
      <c r="I21" s="92"/>
      <c r="J21" s="92"/>
      <c r="K21" s="92"/>
      <c r="L21" s="209"/>
      <c r="M21" s="219"/>
      <c r="N21" s="220"/>
      <c r="O21" s="220"/>
      <c r="P21" s="220"/>
      <c r="Q21" s="221"/>
      <c r="R21" s="222"/>
      <c r="S21" s="220"/>
      <c r="T21" s="220"/>
      <c r="U21" s="220"/>
      <c r="V21" s="220"/>
      <c r="W21" s="220"/>
      <c r="X21" s="236"/>
      <c r="Y21" s="223"/>
      <c r="Z21" s="223"/>
      <c r="AA21" s="236"/>
      <c r="AB21" s="224"/>
      <c r="AC21" s="220"/>
      <c r="AD21" s="220"/>
      <c r="AE21" s="220"/>
      <c r="AF21" s="225"/>
    </row>
    <row r="22" spans="1:45" x14ac:dyDescent="0.25">
      <c r="A22" s="109"/>
      <c r="B22" s="3" t="s">
        <v>252</v>
      </c>
      <c r="C22" s="92">
        <f>+C197</f>
        <v>0</v>
      </c>
      <c r="D22" s="92">
        <f t="shared" ref="D22:K22" si="18">+D197</f>
        <v>0</v>
      </c>
      <c r="E22" s="92">
        <f t="shared" si="18"/>
        <v>0</v>
      </c>
      <c r="F22" s="92">
        <f t="shared" si="18"/>
        <v>0</v>
      </c>
      <c r="G22" s="92">
        <f t="shared" si="18"/>
        <v>0</v>
      </c>
      <c r="H22" s="92">
        <f t="shared" si="18"/>
        <v>0</v>
      </c>
      <c r="I22" s="92">
        <f t="shared" si="18"/>
        <v>0</v>
      </c>
      <c r="J22" s="92">
        <f t="shared" si="18"/>
        <v>0</v>
      </c>
      <c r="K22" s="92">
        <f t="shared" si="18"/>
        <v>0</v>
      </c>
      <c r="L22" s="176">
        <f t="shared" ref="L22:L29" si="19">((((C22)+(D22))+(E22))+(F22))+(K22)</f>
        <v>0</v>
      </c>
      <c r="M22" s="219"/>
      <c r="N22" s="220">
        <f>+N197</f>
        <v>0</v>
      </c>
      <c r="O22" s="220">
        <f t="shared" ref="O22" si="20">+O197</f>
        <v>9000</v>
      </c>
      <c r="P22" s="220">
        <f>SUM(N22:O22)</f>
        <v>9000</v>
      </c>
      <c r="Q22" s="221">
        <f>+P22+C22</f>
        <v>9000</v>
      </c>
      <c r="R22" s="222"/>
      <c r="S22" s="220">
        <f>+S197</f>
        <v>0</v>
      </c>
      <c r="T22" s="220">
        <f>+T197</f>
        <v>0</v>
      </c>
      <c r="U22" s="220">
        <f>+S22+T22</f>
        <v>0</v>
      </c>
      <c r="V22" s="220">
        <f>+U22+K22</f>
        <v>0</v>
      </c>
      <c r="W22" s="178">
        <f t="shared" ref="W22:W28" si="21">+U22+P22</f>
        <v>9000</v>
      </c>
      <c r="X22" s="203">
        <f>+X197</f>
        <v>9000</v>
      </c>
      <c r="Y22" s="226"/>
      <c r="Z22" s="226"/>
      <c r="AA22" s="203">
        <v>18000</v>
      </c>
      <c r="AB22" s="227">
        <f t="shared" ref="AB22:AB28" si="22">+AA22-X22</f>
        <v>9000</v>
      </c>
      <c r="AC22" s="227"/>
      <c r="AD22" s="220">
        <f>+AD197</f>
        <v>0</v>
      </c>
      <c r="AE22" s="220">
        <f>+AE197</f>
        <v>12000</v>
      </c>
      <c r="AF22" s="228">
        <v>12000</v>
      </c>
      <c r="AH22" t="s">
        <v>282</v>
      </c>
    </row>
    <row r="23" spans="1:45" x14ac:dyDescent="0.25">
      <c r="A23" s="109"/>
      <c r="B23" s="3" t="s">
        <v>266</v>
      </c>
      <c r="C23" s="92"/>
      <c r="D23" s="92"/>
      <c r="E23" s="92"/>
      <c r="F23" s="92"/>
      <c r="G23" s="92"/>
      <c r="H23" s="92"/>
      <c r="I23" s="92"/>
      <c r="J23" s="92"/>
      <c r="K23" s="92"/>
      <c r="L23" s="176">
        <f t="shared" si="19"/>
        <v>0</v>
      </c>
      <c r="M23" s="219"/>
      <c r="N23" s="220"/>
      <c r="O23" s="220"/>
      <c r="P23" s="220">
        <f t="shared" ref="P23:P28" si="23">SUM(N23:O23)</f>
        <v>0</v>
      </c>
      <c r="Q23" s="221">
        <f t="shared" ref="Q23:Q28" si="24">+P23+C23</f>
        <v>0</v>
      </c>
      <c r="R23" s="222"/>
      <c r="S23" s="220"/>
      <c r="T23" s="220"/>
      <c r="U23" s="220"/>
      <c r="V23" s="220">
        <f t="shared" ref="V23:V28" si="25">+U23+K23</f>
        <v>0</v>
      </c>
      <c r="W23" s="178">
        <f t="shared" si="21"/>
        <v>0</v>
      </c>
      <c r="X23" s="242">
        <v>0</v>
      </c>
      <c r="Y23" s="226"/>
      <c r="Z23" s="226"/>
      <c r="AA23" s="242">
        <v>0</v>
      </c>
      <c r="AB23" s="202">
        <f t="shared" si="22"/>
        <v>0</v>
      </c>
      <c r="AC23" s="227"/>
      <c r="AD23" s="227">
        <f>+AD198</f>
        <v>0</v>
      </c>
      <c r="AE23" s="227">
        <f>+AE198</f>
        <v>10000</v>
      </c>
      <c r="AF23" s="228">
        <f>+AF198</f>
        <v>10000</v>
      </c>
      <c r="AH23" s="72" t="s">
        <v>283</v>
      </c>
    </row>
    <row r="24" spans="1:45" ht="18.75" x14ac:dyDescent="0.3">
      <c r="A24" s="161" t="s">
        <v>275</v>
      </c>
      <c r="B24" s="3" t="s">
        <v>255</v>
      </c>
      <c r="C24" s="92">
        <f>+C205</f>
        <v>12000</v>
      </c>
      <c r="D24" s="92">
        <f t="shared" ref="D24:K24" si="26">+D205</f>
        <v>0</v>
      </c>
      <c r="E24" s="92">
        <f t="shared" si="26"/>
        <v>0</v>
      </c>
      <c r="F24" s="92">
        <f t="shared" si="26"/>
        <v>0</v>
      </c>
      <c r="G24" s="92">
        <f t="shared" si="26"/>
        <v>0</v>
      </c>
      <c r="H24" s="92">
        <f t="shared" si="26"/>
        <v>0</v>
      </c>
      <c r="I24" s="92">
        <f t="shared" si="26"/>
        <v>0</v>
      </c>
      <c r="J24" s="92">
        <f t="shared" si="26"/>
        <v>18000</v>
      </c>
      <c r="K24" s="92">
        <f t="shared" si="26"/>
        <v>18000</v>
      </c>
      <c r="L24" s="176">
        <f t="shared" si="19"/>
        <v>30000</v>
      </c>
      <c r="M24" s="219"/>
      <c r="N24" s="220">
        <f>+N205</f>
        <v>0</v>
      </c>
      <c r="O24" s="220">
        <f t="shared" ref="O24" si="27">+O205</f>
        <v>0</v>
      </c>
      <c r="P24" s="220">
        <f t="shared" si="23"/>
        <v>0</v>
      </c>
      <c r="Q24" s="221">
        <f t="shared" si="24"/>
        <v>12000</v>
      </c>
      <c r="R24" s="222"/>
      <c r="S24" s="220">
        <f>+S205</f>
        <v>0</v>
      </c>
      <c r="T24" s="220">
        <f t="shared" ref="T24" si="28">+T205</f>
        <v>0</v>
      </c>
      <c r="U24" s="220">
        <f t="shared" ref="U24:U28" si="29">SUM(S24:T24)</f>
        <v>0</v>
      </c>
      <c r="V24" s="220">
        <f t="shared" si="25"/>
        <v>18000</v>
      </c>
      <c r="W24" s="178">
        <f t="shared" si="21"/>
        <v>0</v>
      </c>
      <c r="X24" s="203">
        <f>+X205</f>
        <v>30000</v>
      </c>
      <c r="Y24" s="226">
        <f t="shared" ref="Y24:AA24" si="30">+Y205</f>
        <v>33000</v>
      </c>
      <c r="Z24" s="226">
        <f t="shared" si="30"/>
        <v>0</v>
      </c>
      <c r="AA24" s="203">
        <f t="shared" si="30"/>
        <v>33000</v>
      </c>
      <c r="AB24" s="227">
        <f t="shared" si="22"/>
        <v>3000</v>
      </c>
      <c r="AC24" s="227"/>
      <c r="AD24" s="220" t="e">
        <f>+AD205</f>
        <v>#REF!</v>
      </c>
      <c r="AE24" s="220">
        <f>+AE205</f>
        <v>0</v>
      </c>
      <c r="AF24" s="228">
        <v>29000</v>
      </c>
      <c r="AH24" t="s">
        <v>284</v>
      </c>
    </row>
    <row r="25" spans="1:45" x14ac:dyDescent="0.25">
      <c r="A25" s="109"/>
      <c r="B25" s="3" t="s">
        <v>253</v>
      </c>
      <c r="C25" s="92">
        <f>+C214</f>
        <v>61417.270000000004</v>
      </c>
      <c r="D25" s="92">
        <f t="shared" ref="D25:K25" si="31">+D214</f>
        <v>0</v>
      </c>
      <c r="E25" s="92">
        <f t="shared" si="31"/>
        <v>0</v>
      </c>
      <c r="F25" s="92">
        <f t="shared" si="31"/>
        <v>0</v>
      </c>
      <c r="G25" s="92">
        <f t="shared" si="31"/>
        <v>0</v>
      </c>
      <c r="H25" s="92">
        <f t="shared" si="31"/>
        <v>0</v>
      </c>
      <c r="I25" s="92">
        <f t="shared" si="31"/>
        <v>47960.31</v>
      </c>
      <c r="J25" s="92">
        <f t="shared" si="31"/>
        <v>0</v>
      </c>
      <c r="K25" s="92">
        <f t="shared" si="31"/>
        <v>61960.31</v>
      </c>
      <c r="L25" s="176">
        <f t="shared" si="19"/>
        <v>123377.58</v>
      </c>
      <c r="M25" s="219"/>
      <c r="N25" s="220">
        <f>+N214</f>
        <v>6050</v>
      </c>
      <c r="O25" s="220">
        <f t="shared" ref="O25" si="32">+O214</f>
        <v>6050</v>
      </c>
      <c r="P25" s="220">
        <f t="shared" si="23"/>
        <v>12100</v>
      </c>
      <c r="Q25" s="221">
        <f t="shared" si="24"/>
        <v>73517.27</v>
      </c>
      <c r="R25" s="222"/>
      <c r="S25" s="220">
        <f>+S214</f>
        <v>5951.7960000000003</v>
      </c>
      <c r="T25" s="220">
        <f t="shared" ref="T25" si="33">+T214</f>
        <v>5951.7960000000003</v>
      </c>
      <c r="U25" s="220">
        <f t="shared" si="29"/>
        <v>11903.592000000001</v>
      </c>
      <c r="V25" s="220">
        <f t="shared" si="25"/>
        <v>73863.902000000002</v>
      </c>
      <c r="W25" s="178">
        <f t="shared" si="21"/>
        <v>24003.592000000001</v>
      </c>
      <c r="X25" s="203">
        <f>+X214</f>
        <v>147381.17200000002</v>
      </c>
      <c r="Y25" s="226"/>
      <c r="Z25" s="226"/>
      <c r="AA25" s="203">
        <v>158525</v>
      </c>
      <c r="AB25" s="227">
        <f t="shared" si="22"/>
        <v>11143.82799999998</v>
      </c>
      <c r="AC25" s="227"/>
      <c r="AD25" s="220" t="e">
        <f>+AD214</f>
        <v>#REF!</v>
      </c>
      <c r="AE25" s="220" t="e">
        <f>+AE214</f>
        <v>#REF!</v>
      </c>
      <c r="AF25" s="228" t="e">
        <f>+AF214</f>
        <v>#REF!</v>
      </c>
      <c r="AG25" t="s">
        <v>295</v>
      </c>
      <c r="AN25" t="s">
        <v>242</v>
      </c>
    </row>
    <row r="26" spans="1:45" x14ac:dyDescent="0.25">
      <c r="A26" s="109"/>
      <c r="B26" s="3" t="s">
        <v>254</v>
      </c>
      <c r="C26" s="92">
        <f>+C219</f>
        <v>5500</v>
      </c>
      <c r="D26" s="92">
        <f t="shared" ref="D26:K26" si="34">+D219</f>
        <v>0</v>
      </c>
      <c r="E26" s="92">
        <f t="shared" si="34"/>
        <v>0</v>
      </c>
      <c r="F26" s="92">
        <f t="shared" si="34"/>
        <v>0</v>
      </c>
      <c r="G26" s="92">
        <f t="shared" si="34"/>
        <v>0</v>
      </c>
      <c r="H26" s="92">
        <f t="shared" si="34"/>
        <v>0</v>
      </c>
      <c r="I26" s="92">
        <f t="shared" si="34"/>
        <v>26555</v>
      </c>
      <c r="J26" s="92">
        <f t="shared" si="34"/>
        <v>0</v>
      </c>
      <c r="K26" s="92">
        <f t="shared" si="34"/>
        <v>26555</v>
      </c>
      <c r="L26" s="176">
        <f t="shared" si="19"/>
        <v>32055</v>
      </c>
      <c r="M26" s="219"/>
      <c r="N26" s="220">
        <f>+N219</f>
        <v>440</v>
      </c>
      <c r="O26" s="220">
        <f t="shared" ref="O26" si="35">+O219</f>
        <v>440</v>
      </c>
      <c r="P26" s="220">
        <f t="shared" si="23"/>
        <v>880</v>
      </c>
      <c r="Q26" s="221">
        <f t="shared" si="24"/>
        <v>6380</v>
      </c>
      <c r="R26" s="222"/>
      <c r="S26" s="220">
        <f>+S219</f>
        <v>1760</v>
      </c>
      <c r="T26" s="220">
        <f t="shared" ref="T26" si="36">+T219</f>
        <v>1760</v>
      </c>
      <c r="U26" s="220">
        <f t="shared" si="29"/>
        <v>3520</v>
      </c>
      <c r="V26" s="220">
        <f t="shared" si="25"/>
        <v>30075</v>
      </c>
      <c r="W26" s="178">
        <f t="shared" si="21"/>
        <v>4400</v>
      </c>
      <c r="X26" s="203">
        <f>+X219</f>
        <v>36455</v>
      </c>
      <c r="Y26" s="226"/>
      <c r="Z26" s="226"/>
      <c r="AA26" s="203">
        <v>36900</v>
      </c>
      <c r="AB26" s="227">
        <f t="shared" si="22"/>
        <v>445</v>
      </c>
      <c r="AC26" s="227"/>
      <c r="AD26" s="220">
        <f>+AD219</f>
        <v>36900</v>
      </c>
      <c r="AE26" s="220">
        <f>+AE219</f>
        <v>0</v>
      </c>
      <c r="AF26" s="228">
        <v>36900</v>
      </c>
      <c r="AH26" t="s">
        <v>288</v>
      </c>
      <c r="AJ26" t="s">
        <v>243</v>
      </c>
      <c r="AK26" t="s">
        <v>244</v>
      </c>
      <c r="AL26" t="s">
        <v>245</v>
      </c>
      <c r="AM26">
        <v>48</v>
      </c>
      <c r="AN26" s="119">
        <v>0.03</v>
      </c>
      <c r="AO26" t="s">
        <v>246</v>
      </c>
      <c r="AP26" t="s">
        <v>244</v>
      </c>
      <c r="AQ26" t="s">
        <v>247</v>
      </c>
      <c r="AR26" t="s">
        <v>248</v>
      </c>
    </row>
    <row r="27" spans="1:45" x14ac:dyDescent="0.25">
      <c r="A27" s="109"/>
      <c r="B27" s="3" t="s">
        <v>256</v>
      </c>
      <c r="C27" s="92">
        <f>+C231</f>
        <v>3639.31</v>
      </c>
      <c r="D27" s="92">
        <f t="shared" ref="D27:K27" si="37">+D231</f>
        <v>0</v>
      </c>
      <c r="E27" s="92">
        <f t="shared" si="37"/>
        <v>0</v>
      </c>
      <c r="F27" s="92">
        <f t="shared" si="37"/>
        <v>0</v>
      </c>
      <c r="G27" s="92">
        <f t="shared" si="37"/>
        <v>0</v>
      </c>
      <c r="H27" s="92">
        <f t="shared" si="37"/>
        <v>530.04999999999995</v>
      </c>
      <c r="I27" s="92">
        <f t="shared" si="37"/>
        <v>2966.3199999999997</v>
      </c>
      <c r="J27" s="92">
        <f t="shared" si="37"/>
        <v>240</v>
      </c>
      <c r="K27" s="92">
        <f t="shared" si="37"/>
        <v>3736.37</v>
      </c>
      <c r="L27" s="176">
        <f t="shared" si="19"/>
        <v>7375.68</v>
      </c>
      <c r="M27" s="219"/>
      <c r="N27" s="220">
        <f>+N231</f>
        <v>593</v>
      </c>
      <c r="O27" s="220">
        <f t="shared" ref="O27" si="38">+O231</f>
        <v>135</v>
      </c>
      <c r="P27" s="220">
        <f t="shared" si="23"/>
        <v>728</v>
      </c>
      <c r="Q27" s="221">
        <f t="shared" si="24"/>
        <v>4367.3099999999995</v>
      </c>
      <c r="R27" s="222"/>
      <c r="S27" s="220">
        <f>+S231</f>
        <v>60</v>
      </c>
      <c r="T27" s="220">
        <f t="shared" ref="T27" si="39">+T231</f>
        <v>60</v>
      </c>
      <c r="U27" s="220">
        <f t="shared" si="29"/>
        <v>120</v>
      </c>
      <c r="V27" s="220">
        <f t="shared" si="25"/>
        <v>3856.37</v>
      </c>
      <c r="W27" s="178">
        <f t="shared" si="21"/>
        <v>848</v>
      </c>
      <c r="X27" s="203">
        <f>+X231</f>
        <v>8223.68</v>
      </c>
      <c r="Y27" s="226"/>
      <c r="Z27" s="226"/>
      <c r="AA27" s="203">
        <v>4740</v>
      </c>
      <c r="AB27" s="227">
        <f t="shared" si="22"/>
        <v>-3483.6800000000003</v>
      </c>
      <c r="AC27" s="227"/>
      <c r="AD27" s="220">
        <f>+AD231</f>
        <v>6850</v>
      </c>
      <c r="AE27" s="220">
        <f>+AE231</f>
        <v>0</v>
      </c>
      <c r="AF27" s="228">
        <v>6850</v>
      </c>
      <c r="AH27" t="s">
        <v>307</v>
      </c>
      <c r="AI27" t="s">
        <v>193</v>
      </c>
      <c r="AJ27" s="81">
        <v>51.5</v>
      </c>
      <c r="AK27">
        <v>25</v>
      </c>
      <c r="AL27" s="82">
        <f>+AJ27*AK27</f>
        <v>1287.5</v>
      </c>
      <c r="AM27" s="82">
        <f>+AL27*$AM$26</f>
        <v>61800</v>
      </c>
      <c r="AN27" s="81">
        <v>1.5449999999999999</v>
      </c>
      <c r="AO27" s="81">
        <v>53.045000000000002</v>
      </c>
      <c r="AP27">
        <v>25</v>
      </c>
      <c r="AQ27" s="81">
        <v>1326.125</v>
      </c>
      <c r="AR27" s="82">
        <f>+AQ27*AM26</f>
        <v>63654</v>
      </c>
    </row>
    <row r="28" spans="1:45" x14ac:dyDescent="0.25">
      <c r="A28" s="109"/>
      <c r="B28" s="3" t="s">
        <v>257</v>
      </c>
      <c r="C28" s="150">
        <f>+C196+C199+C200+C201+C203+C204+C206+C207+C222+C232+C233+C234+C235+C237</f>
        <v>9142.09</v>
      </c>
      <c r="D28" s="150"/>
      <c r="E28" s="150"/>
      <c r="F28" s="150"/>
      <c r="G28" s="150"/>
      <c r="H28" s="150"/>
      <c r="I28" s="150"/>
      <c r="J28" s="150"/>
      <c r="K28" s="150">
        <f>+K196+K199+K200+K201+K203+K204+K206+K207+K222+K232+K233+K234+K235+K237</f>
        <v>16192.33</v>
      </c>
      <c r="L28" s="195">
        <f t="shared" si="19"/>
        <v>25334.42</v>
      </c>
      <c r="M28" s="219"/>
      <c r="N28" s="214">
        <f>+N196+N199+N200+N201+N203+N204+N206+N207+N222+N232+N233+N234+N235+N237</f>
        <v>5606.24</v>
      </c>
      <c r="O28" s="214">
        <f>+O196+O199+O200+O201+O203+O204+O206+O207+O222+O232+O233+O234+O235+O237</f>
        <v>170</v>
      </c>
      <c r="P28" s="214">
        <f t="shared" si="23"/>
        <v>5776.24</v>
      </c>
      <c r="Q28" s="215">
        <f t="shared" si="24"/>
        <v>14918.33</v>
      </c>
      <c r="R28" s="222"/>
      <c r="S28" s="214">
        <f>+S196+S199+S200+S201+S203+S204+S206+S207+S222+S232+S233+S234+S235+S237</f>
        <v>80</v>
      </c>
      <c r="T28" s="214">
        <f>+T196+T199+T200+T201+T203+T204+T206+T207+T222+T232+T233+T234+T235+T237</f>
        <v>130</v>
      </c>
      <c r="U28" s="214">
        <f t="shared" si="29"/>
        <v>210</v>
      </c>
      <c r="V28" s="214">
        <f t="shared" si="25"/>
        <v>16402.330000000002</v>
      </c>
      <c r="W28" s="184">
        <f t="shared" si="21"/>
        <v>5986.24</v>
      </c>
      <c r="X28" s="198">
        <f>+X196+X199+X200+X201+X203+X204+X206+X207+X222+X232+X233+X234+X235+X237</f>
        <v>31320.660000000003</v>
      </c>
      <c r="Y28" s="229">
        <f t="shared" ref="Y28:Z28" si="40">+Y196+Y199+Y200+Y201+Y203+Y204+Y206+Y207+Y222+Y232+Y233+Y234+Y235+Y237</f>
        <v>25600</v>
      </c>
      <c r="Z28" s="229">
        <f t="shared" si="40"/>
        <v>0</v>
      </c>
      <c r="AA28" s="198">
        <f>+AA196+AA199+AA200+AA201+AA203+AA204+AA206+AA207+AA222+AA232+AA233+AA234+AA235+AA237+AA202+AA208</f>
        <v>26650</v>
      </c>
      <c r="AB28" s="197">
        <f t="shared" si="22"/>
        <v>-4670.6600000000035</v>
      </c>
      <c r="AC28" s="227"/>
      <c r="AD28" s="214">
        <f>+AD196+AD199+AD200+AD201+AD203+AD204+AD206+AD207+AD222+AD232+AD233+AD234+AD235+AD237</f>
        <v>20700</v>
      </c>
      <c r="AE28" s="214">
        <f>+AE196+AE199+AE200+AE201+AE203+AE204+AE206+AE207+AE222+AE232+AE233+AE234+AE235+AE237</f>
        <v>8925</v>
      </c>
      <c r="AF28" s="230">
        <f>+AF196+AF199+AF200+AF201+AF203+AF204+AF206+AF207+AF222+AF232+AF233+AF234+AF235+AF237+AF202+AF208</f>
        <v>30125</v>
      </c>
      <c r="AH28" t="s">
        <v>307</v>
      </c>
      <c r="AI28" t="s">
        <v>192</v>
      </c>
      <c r="AJ28" s="81">
        <v>22</v>
      </c>
      <c r="AK28">
        <v>22</v>
      </c>
      <c r="AL28" s="82">
        <f t="shared" ref="AL28:AL29" si="41">+AJ28*AK28</f>
        <v>484</v>
      </c>
      <c r="AM28" s="82">
        <f t="shared" ref="AM28:AM29" si="42">+AL28*$AM$26</f>
        <v>23232</v>
      </c>
      <c r="AN28" s="81">
        <v>3</v>
      </c>
      <c r="AO28" s="81">
        <v>25</v>
      </c>
      <c r="AP28">
        <v>22</v>
      </c>
      <c r="AQ28" s="81">
        <v>550</v>
      </c>
      <c r="AR28" s="82">
        <f>+AQ28*AM26</f>
        <v>26400</v>
      </c>
    </row>
    <row r="29" spans="1:45" x14ac:dyDescent="0.25">
      <c r="A29" s="109"/>
      <c r="B29" s="165" t="s">
        <v>76</v>
      </c>
      <c r="C29" s="150">
        <f>SUM(C22:C28)</f>
        <v>91698.67</v>
      </c>
      <c r="D29" s="150">
        <f t="shared" ref="D29:K29" si="43">SUM(D22:D28)</f>
        <v>0</v>
      </c>
      <c r="E29" s="150">
        <f t="shared" si="43"/>
        <v>0</v>
      </c>
      <c r="F29" s="150">
        <f t="shared" si="43"/>
        <v>0</v>
      </c>
      <c r="G29" s="150">
        <f t="shared" si="43"/>
        <v>0</v>
      </c>
      <c r="H29" s="150">
        <f t="shared" si="43"/>
        <v>530.04999999999995</v>
      </c>
      <c r="I29" s="150">
        <f t="shared" si="43"/>
        <v>77481.63</v>
      </c>
      <c r="J29" s="150">
        <f t="shared" si="43"/>
        <v>18240</v>
      </c>
      <c r="K29" s="150">
        <f t="shared" si="43"/>
        <v>126444.01</v>
      </c>
      <c r="L29" s="212">
        <f t="shared" si="19"/>
        <v>218142.68</v>
      </c>
      <c r="M29" s="213"/>
      <c r="N29" s="214">
        <f>SUM(N22:N28)</f>
        <v>12689.24</v>
      </c>
      <c r="O29" s="214">
        <f t="shared" ref="O29:Q29" si="44">SUM(O22:O28)</f>
        <v>15795</v>
      </c>
      <c r="P29" s="214">
        <f t="shared" si="44"/>
        <v>28484.239999999998</v>
      </c>
      <c r="Q29" s="215">
        <f t="shared" si="44"/>
        <v>120182.91</v>
      </c>
      <c r="R29" s="216"/>
      <c r="S29" s="214">
        <f>SUM(S22:S28)</f>
        <v>7851.7960000000003</v>
      </c>
      <c r="T29" s="214">
        <f t="shared" ref="T29:W29" si="45">SUM(T22:T28)</f>
        <v>7901.7960000000003</v>
      </c>
      <c r="U29" s="214">
        <f t="shared" si="45"/>
        <v>15753.592000000001</v>
      </c>
      <c r="V29" s="214">
        <f t="shared" si="45"/>
        <v>142197.60200000001</v>
      </c>
      <c r="W29" s="214">
        <f t="shared" si="45"/>
        <v>44237.832000000002</v>
      </c>
      <c r="X29" s="241">
        <f>SUM(X22:X28)</f>
        <v>262380.51199999999</v>
      </c>
      <c r="Y29" s="217">
        <f t="shared" ref="Y29:AB29" si="46">SUM(Y22:Y28)</f>
        <v>58600</v>
      </c>
      <c r="Z29" s="217">
        <f t="shared" si="46"/>
        <v>0</v>
      </c>
      <c r="AA29" s="241">
        <f t="shared" si="46"/>
        <v>277815</v>
      </c>
      <c r="AB29" s="217">
        <f t="shared" si="46"/>
        <v>15434.487999999976</v>
      </c>
      <c r="AC29" s="214"/>
      <c r="AD29" s="217" t="e">
        <f>SUM(AD22:AD28)</f>
        <v>#REF!</v>
      </c>
      <c r="AE29" s="217" t="e">
        <f>SUM(AE22:AE28)</f>
        <v>#REF!</v>
      </c>
      <c r="AF29" s="218" t="e">
        <f>SUM(AF22:AF28)</f>
        <v>#REF!</v>
      </c>
      <c r="AG29" s="129"/>
      <c r="AH29" s="129"/>
      <c r="AI29" s="244" t="s">
        <v>191</v>
      </c>
      <c r="AJ29" s="81">
        <v>41.2</v>
      </c>
      <c r="AK29">
        <v>25</v>
      </c>
      <c r="AL29" s="82">
        <f t="shared" si="41"/>
        <v>1030</v>
      </c>
      <c r="AM29" s="82">
        <f t="shared" si="42"/>
        <v>49440</v>
      </c>
      <c r="AN29" s="81">
        <v>1.236</v>
      </c>
      <c r="AO29" s="81">
        <v>42.436</v>
      </c>
      <c r="AP29">
        <v>25</v>
      </c>
      <c r="AQ29" s="81">
        <v>1060.9000000000001</v>
      </c>
      <c r="AR29" s="246">
        <v>50923.200000000004</v>
      </c>
    </row>
    <row r="30" spans="1:45" ht="15.75" thickBot="1" x14ac:dyDescent="0.3">
      <c r="A30" s="109"/>
      <c r="B30" s="3"/>
      <c r="C30" s="88"/>
      <c r="D30" s="88"/>
      <c r="E30" s="88"/>
      <c r="F30" s="88"/>
      <c r="G30" s="88"/>
      <c r="H30" s="88"/>
      <c r="I30" s="88"/>
      <c r="J30" s="88"/>
      <c r="K30" s="88"/>
      <c r="L30" s="188"/>
      <c r="M30" s="189"/>
      <c r="N30" s="190"/>
      <c r="O30" s="190"/>
      <c r="P30" s="190"/>
      <c r="Q30" s="191"/>
      <c r="R30" s="192"/>
      <c r="S30" s="190"/>
      <c r="T30" s="190"/>
      <c r="U30" s="190"/>
      <c r="V30" s="190"/>
      <c r="W30" s="190"/>
      <c r="X30" s="239"/>
      <c r="Y30" s="193"/>
      <c r="Z30" s="193"/>
      <c r="AA30" s="239"/>
      <c r="AB30" s="190"/>
      <c r="AC30" s="220"/>
      <c r="AD30" s="193"/>
      <c r="AE30" s="193"/>
      <c r="AF30" s="225"/>
      <c r="AM30" s="245">
        <f>SUM(AM27:AM29)</f>
        <v>134472</v>
      </c>
      <c r="AR30" s="72">
        <f>SUM(AR27:AR29)</f>
        <v>140977.20000000001</v>
      </c>
    </row>
    <row r="31" spans="1:45" ht="27" customHeight="1" thickTop="1" thickBot="1" x14ac:dyDescent="0.35">
      <c r="A31" s="161" t="s">
        <v>62</v>
      </c>
      <c r="B31" s="165" t="s">
        <v>62</v>
      </c>
      <c r="C31" s="152">
        <f>+C19-C29</f>
        <v>-58365.27</v>
      </c>
      <c r="D31" s="152">
        <f t="shared" ref="D31:W31" si="47">+D19-D29</f>
        <v>0</v>
      </c>
      <c r="E31" s="152">
        <f t="shared" si="47"/>
        <v>0</v>
      </c>
      <c r="F31" s="152">
        <f t="shared" si="47"/>
        <v>0</v>
      </c>
      <c r="G31" s="152">
        <f t="shared" si="47"/>
        <v>122981.44</v>
      </c>
      <c r="H31" s="152">
        <f t="shared" si="47"/>
        <v>9.9500000000000455</v>
      </c>
      <c r="I31" s="152">
        <f t="shared" si="47"/>
        <v>-77481.63</v>
      </c>
      <c r="J31" s="152">
        <f t="shared" si="47"/>
        <v>-18240</v>
      </c>
      <c r="K31" s="152">
        <f t="shared" si="47"/>
        <v>33460.89</v>
      </c>
      <c r="L31" s="231">
        <f t="shared" si="47"/>
        <v>-0.38000000000465661</v>
      </c>
      <c r="M31" s="232"/>
      <c r="N31" s="232">
        <f t="shared" si="47"/>
        <v>-9355.9066666666658</v>
      </c>
      <c r="O31" s="232">
        <f t="shared" si="47"/>
        <v>-12461.666666666666</v>
      </c>
      <c r="P31" s="232">
        <f t="shared" si="47"/>
        <v>-21817.57333333333</v>
      </c>
      <c r="Q31" s="233">
        <f t="shared" si="47"/>
        <v>-80182.843333333338</v>
      </c>
      <c r="R31" s="232"/>
      <c r="S31" s="232">
        <f t="shared" si="47"/>
        <v>-5351.7960000000003</v>
      </c>
      <c r="T31" s="232">
        <f t="shared" si="47"/>
        <v>-6401.7960000000003</v>
      </c>
      <c r="U31" s="232">
        <f t="shared" si="47"/>
        <v>-11753.592000000001</v>
      </c>
      <c r="V31" s="232">
        <f t="shared" si="47"/>
        <v>21707.297999999981</v>
      </c>
      <c r="W31" s="232">
        <f t="shared" si="47"/>
        <v>-0.16533333333063638</v>
      </c>
      <c r="X31" s="233">
        <f>+X19-X29</f>
        <v>0.45466666668653488</v>
      </c>
      <c r="Y31" s="232">
        <f t="shared" ref="Y31:AA31" si="48">+Y19-Y29</f>
        <v>128400</v>
      </c>
      <c r="Z31" s="232">
        <f t="shared" si="48"/>
        <v>40000</v>
      </c>
      <c r="AA31" s="233">
        <f t="shared" si="48"/>
        <v>0</v>
      </c>
      <c r="AB31" s="232">
        <f>+AB19+AB29</f>
        <v>0.4546666666319652</v>
      </c>
      <c r="AC31" s="220"/>
      <c r="AD31" s="232" t="e">
        <f>+AD19-AD29</f>
        <v>#REF!</v>
      </c>
      <c r="AE31" s="232" t="e">
        <f>+AE19-AE29</f>
        <v>#REF!</v>
      </c>
      <c r="AF31" s="234" t="e">
        <f>+AF19-AF29</f>
        <v>#REF!</v>
      </c>
      <c r="AR31" s="82">
        <v>1000</v>
      </c>
      <c r="AS31" t="s">
        <v>286</v>
      </c>
    </row>
    <row r="32" spans="1:45" ht="15.75" thickTop="1" x14ac:dyDescent="0.25">
      <c r="B32" s="3"/>
      <c r="C32" s="93"/>
      <c r="D32" s="93"/>
      <c r="E32" s="93"/>
      <c r="F32" s="93"/>
      <c r="G32" s="93"/>
      <c r="H32" s="93"/>
      <c r="I32" s="93"/>
      <c r="J32" s="93"/>
      <c r="K32" s="93"/>
      <c r="L32" s="235"/>
      <c r="M32" s="235"/>
      <c r="N32" s="235"/>
      <c r="O32" s="235"/>
      <c r="P32" s="235"/>
      <c r="Q32" s="236"/>
      <c r="R32" s="235"/>
      <c r="S32" s="235"/>
      <c r="T32" s="235"/>
      <c r="U32" s="235"/>
      <c r="V32" s="235"/>
      <c r="W32" s="235"/>
      <c r="X32" s="223"/>
      <c r="Y32" s="223"/>
      <c r="Z32" s="223"/>
      <c r="AA32" s="223"/>
      <c r="AB32" s="223"/>
      <c r="AC32" s="235"/>
      <c r="AD32" s="235"/>
      <c r="AE32" s="235"/>
      <c r="AF32" s="223"/>
      <c r="AH32" s="72"/>
      <c r="AR32" s="82">
        <f>+AR30*0.1</f>
        <v>14097.720000000001</v>
      </c>
      <c r="AS32" t="s">
        <v>287</v>
      </c>
    </row>
    <row r="33" spans="2:44" ht="15" customHeight="1" thickBot="1" x14ac:dyDescent="0.3">
      <c r="B33" s="131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166"/>
      <c r="R33" s="93"/>
      <c r="S33" s="93"/>
      <c r="T33" s="93"/>
      <c r="U33" s="93"/>
      <c r="V33" s="93"/>
      <c r="W33" s="93"/>
      <c r="X33" s="129"/>
      <c r="Y33" s="129"/>
      <c r="Z33" s="129"/>
      <c r="AC33" s="93"/>
      <c r="AD33" s="93"/>
      <c r="AE33" s="93"/>
      <c r="AF33" s="117" t="s">
        <v>289</v>
      </c>
      <c r="AH33" s="72"/>
      <c r="AR33" s="245">
        <f>SUM(AR30:AR32)</f>
        <v>156074.92000000001</v>
      </c>
    </row>
    <row r="34" spans="2:44" ht="15" customHeight="1" thickTop="1" x14ac:dyDescent="0.25">
      <c r="B34" s="3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28"/>
      <c r="R34" s="107"/>
      <c r="S34" s="107"/>
      <c r="T34" s="107"/>
      <c r="U34" s="107"/>
      <c r="V34" s="107"/>
      <c r="W34" s="107"/>
      <c r="X34" s="129"/>
      <c r="Y34" s="129"/>
      <c r="Z34" s="129"/>
      <c r="AC34" s="107"/>
      <c r="AD34" s="107"/>
      <c r="AE34" s="107"/>
      <c r="AF34" s="247" t="s">
        <v>289</v>
      </c>
      <c r="AG34" s="248">
        <v>1500</v>
      </c>
    </row>
    <row r="35" spans="2:44" ht="15" customHeight="1" x14ac:dyDescent="0.25">
      <c r="B35" s="3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28"/>
      <c r="R35" s="107"/>
      <c r="S35" s="107"/>
      <c r="T35" s="107"/>
      <c r="U35" s="107"/>
      <c r="V35" s="107"/>
      <c r="W35" s="107"/>
      <c r="X35" s="129"/>
      <c r="Y35" s="129"/>
      <c r="Z35" s="129"/>
      <c r="AC35" s="107"/>
      <c r="AD35" s="107"/>
      <c r="AE35" s="107"/>
      <c r="AF35" s="249" t="s">
        <v>290</v>
      </c>
      <c r="AG35" s="250">
        <v>1000</v>
      </c>
    </row>
    <row r="36" spans="2:44" ht="15" customHeight="1" x14ac:dyDescent="0.25">
      <c r="B36" s="3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28"/>
      <c r="R36" s="107"/>
      <c r="S36" s="107"/>
      <c r="T36" s="107"/>
      <c r="U36" s="107"/>
      <c r="V36" s="107"/>
      <c r="W36" s="107"/>
      <c r="X36" s="129"/>
      <c r="Y36" s="129"/>
      <c r="Z36" s="129"/>
      <c r="AC36" s="107"/>
      <c r="AD36" s="107"/>
      <c r="AE36" s="107"/>
      <c r="AF36" s="249" t="s">
        <v>291</v>
      </c>
      <c r="AG36" s="250">
        <v>500</v>
      </c>
    </row>
    <row r="37" spans="2:44" ht="15" customHeight="1" x14ac:dyDescent="0.25">
      <c r="B37" s="3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28"/>
      <c r="R37" s="107"/>
      <c r="S37" s="107"/>
      <c r="T37" s="107"/>
      <c r="U37" s="107"/>
      <c r="V37" s="107"/>
      <c r="W37" s="107"/>
      <c r="X37" s="129"/>
      <c r="Y37" s="129"/>
      <c r="Z37" s="129"/>
      <c r="AC37" s="107"/>
      <c r="AD37" s="107"/>
      <c r="AE37" s="107"/>
      <c r="AF37" s="249" t="s">
        <v>292</v>
      </c>
      <c r="AG37" s="250">
        <v>1000</v>
      </c>
    </row>
    <row r="38" spans="2:44" ht="15" customHeight="1" x14ac:dyDescent="0.25">
      <c r="B38" s="3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28"/>
      <c r="R38" s="107"/>
      <c r="S38" s="107"/>
      <c r="T38" s="107"/>
      <c r="U38" s="107"/>
      <c r="V38" s="107"/>
      <c r="W38" s="107"/>
      <c r="X38" s="129"/>
      <c r="Y38" s="129"/>
      <c r="Z38" s="129"/>
      <c r="AC38" s="107"/>
      <c r="AD38" s="107"/>
      <c r="AE38" s="107"/>
      <c r="AF38" s="249" t="s">
        <v>190</v>
      </c>
      <c r="AG38" s="250">
        <v>1500</v>
      </c>
    </row>
    <row r="39" spans="2:44" ht="15" customHeight="1" x14ac:dyDescent="0.25">
      <c r="B39" s="3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28"/>
      <c r="R39" s="107"/>
      <c r="S39" s="107"/>
      <c r="T39" s="107"/>
      <c r="U39" s="107"/>
      <c r="V39" s="107"/>
      <c r="W39" s="107"/>
      <c r="X39" s="129"/>
      <c r="Y39" s="129"/>
      <c r="Z39" s="129"/>
      <c r="AC39" s="107"/>
      <c r="AD39" s="107"/>
      <c r="AE39" s="107"/>
      <c r="AF39" s="249" t="s">
        <v>293</v>
      </c>
      <c r="AG39" s="250">
        <v>150</v>
      </c>
    </row>
    <row r="40" spans="2:44" ht="34.5" customHeight="1" x14ac:dyDescent="0.25">
      <c r="B40" s="3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28"/>
      <c r="R40" s="107"/>
      <c r="S40" s="107"/>
      <c r="T40" s="107"/>
      <c r="U40" s="107"/>
      <c r="V40" s="107"/>
      <c r="W40" s="107"/>
      <c r="X40" s="129"/>
      <c r="Y40" s="129"/>
      <c r="Z40" s="129"/>
      <c r="AC40" s="107"/>
      <c r="AD40" s="107"/>
      <c r="AE40" s="107"/>
      <c r="AF40" s="251" t="s">
        <v>294</v>
      </c>
      <c r="AG40" s="250">
        <v>1200</v>
      </c>
    </row>
    <row r="41" spans="2:44" ht="15.75" thickBot="1" x14ac:dyDescent="0.3">
      <c r="B41" s="3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28"/>
      <c r="R41" s="107"/>
      <c r="S41" s="107"/>
      <c r="T41" s="107"/>
      <c r="U41" s="107"/>
      <c r="V41" s="107"/>
      <c r="W41" s="107"/>
      <c r="X41" s="129"/>
      <c r="Y41" s="129"/>
      <c r="Z41" s="129"/>
      <c r="AA41" s="129"/>
      <c r="AB41" s="129"/>
      <c r="AC41" s="107"/>
      <c r="AD41" s="107"/>
      <c r="AE41" s="107"/>
      <c r="AF41" s="252"/>
      <c r="AG41" s="253">
        <f>SUM(AG34:AG40)</f>
        <v>6850</v>
      </c>
    </row>
    <row r="42" spans="2:44" ht="15.75" thickBot="1" x14ac:dyDescent="0.3">
      <c r="B42" s="3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28"/>
      <c r="R42" s="107"/>
      <c r="S42" s="107"/>
      <c r="T42" s="107"/>
      <c r="U42" s="107"/>
      <c r="V42" s="107"/>
      <c r="W42" s="107"/>
      <c r="X42" s="129"/>
      <c r="Y42" s="129"/>
      <c r="Z42" s="129"/>
      <c r="AA42" s="129"/>
      <c r="AB42" s="129"/>
      <c r="AC42" s="107"/>
      <c r="AD42" s="107"/>
      <c r="AE42" s="107"/>
      <c r="AF42" s="117" t="s">
        <v>302</v>
      </c>
    </row>
    <row r="43" spans="2:44" x14ac:dyDescent="0.25">
      <c r="B43" s="3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28"/>
      <c r="R43" s="107"/>
      <c r="S43" s="107"/>
      <c r="T43" s="107"/>
      <c r="U43" s="107"/>
      <c r="V43" s="107"/>
      <c r="W43" s="107"/>
      <c r="X43" s="129"/>
      <c r="Y43" s="129"/>
      <c r="Z43" s="129"/>
      <c r="AA43" s="129"/>
      <c r="AB43" s="129"/>
      <c r="AC43" s="107"/>
      <c r="AD43" s="107"/>
      <c r="AE43" s="107"/>
      <c r="AF43" s="254" t="s">
        <v>296</v>
      </c>
      <c r="AG43" s="255">
        <v>5000</v>
      </c>
    </row>
    <row r="44" spans="2:44" x14ac:dyDescent="0.25">
      <c r="B44" s="3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28"/>
      <c r="R44" s="107"/>
      <c r="S44" s="107"/>
      <c r="T44" s="107"/>
      <c r="U44" s="107"/>
      <c r="V44" s="107"/>
      <c r="W44" s="107"/>
      <c r="X44" s="129"/>
      <c r="Y44" s="129"/>
      <c r="Z44" s="129"/>
      <c r="AA44" s="129"/>
      <c r="AB44" s="129"/>
      <c r="AC44" s="107"/>
      <c r="AD44" s="107"/>
      <c r="AE44" s="107"/>
      <c r="AF44" s="256" t="s">
        <v>297</v>
      </c>
      <c r="AG44" s="250">
        <v>100</v>
      </c>
    </row>
    <row r="45" spans="2:44" x14ac:dyDescent="0.25">
      <c r="B45" s="3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28"/>
      <c r="R45" s="107"/>
      <c r="S45" s="107"/>
      <c r="T45" s="107"/>
      <c r="U45" s="107"/>
      <c r="V45" s="107"/>
      <c r="W45" s="107"/>
      <c r="X45" s="129"/>
      <c r="Y45" s="129"/>
      <c r="Z45" s="129"/>
      <c r="AA45" s="129"/>
      <c r="AB45" s="129"/>
      <c r="AC45" s="107"/>
      <c r="AD45" s="107"/>
      <c r="AE45" s="107"/>
      <c r="AF45" s="256" t="s">
        <v>298</v>
      </c>
      <c r="AG45" s="250">
        <v>1200</v>
      </c>
    </row>
    <row r="46" spans="2:44" ht="23.25" x14ac:dyDescent="0.25">
      <c r="B46" s="3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28"/>
      <c r="R46" s="107"/>
      <c r="S46" s="107"/>
      <c r="T46" s="107"/>
      <c r="U46" s="107"/>
      <c r="V46" s="107"/>
      <c r="W46" s="107"/>
      <c r="X46" s="129"/>
      <c r="Y46" s="129"/>
      <c r="Z46" s="129"/>
      <c r="AA46" s="129"/>
      <c r="AB46" s="129"/>
      <c r="AC46" s="107"/>
      <c r="AD46" s="107"/>
      <c r="AE46" s="107"/>
      <c r="AF46" s="256" t="s">
        <v>299</v>
      </c>
      <c r="AG46" s="250">
        <v>6175</v>
      </c>
    </row>
    <row r="47" spans="2:44" x14ac:dyDescent="0.25">
      <c r="B47" s="3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28"/>
      <c r="R47" s="107"/>
      <c r="S47" s="107"/>
      <c r="T47" s="107"/>
      <c r="U47" s="107"/>
      <c r="V47" s="107"/>
      <c r="W47" s="107"/>
      <c r="X47" s="129"/>
      <c r="Y47" s="129"/>
      <c r="Z47" s="129"/>
      <c r="AA47" s="129"/>
      <c r="AB47" s="129"/>
      <c r="AC47" s="107"/>
      <c r="AD47" s="107"/>
      <c r="AE47" s="107"/>
      <c r="AF47" s="256" t="s">
        <v>195</v>
      </c>
      <c r="AG47" s="250">
        <v>0</v>
      </c>
    </row>
    <row r="48" spans="2:44" ht="23.25" x14ac:dyDescent="0.25">
      <c r="B48" s="3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28"/>
      <c r="R48" s="107"/>
      <c r="S48" s="107"/>
      <c r="T48" s="107"/>
      <c r="U48" s="107"/>
      <c r="V48" s="107"/>
      <c r="W48" s="107"/>
      <c r="X48" s="129"/>
      <c r="Y48" s="129"/>
      <c r="Z48" s="129"/>
      <c r="AA48" s="129"/>
      <c r="AB48" s="129"/>
      <c r="AC48" s="107"/>
      <c r="AD48" s="107"/>
      <c r="AE48" s="107"/>
      <c r="AF48" s="256" t="s">
        <v>300</v>
      </c>
      <c r="AG48" s="250">
        <v>0</v>
      </c>
    </row>
    <row r="49" spans="2:33" ht="23.25" x14ac:dyDescent="0.25">
      <c r="B49" s="3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28"/>
      <c r="R49" s="107"/>
      <c r="S49" s="107"/>
      <c r="T49" s="107"/>
      <c r="U49" s="107"/>
      <c r="V49" s="107"/>
      <c r="W49" s="107"/>
      <c r="X49" s="129"/>
      <c r="Y49" s="129"/>
      <c r="Z49" s="129"/>
      <c r="AA49" s="129"/>
      <c r="AB49" s="129"/>
      <c r="AC49" s="107"/>
      <c r="AD49" s="107"/>
      <c r="AE49" s="107"/>
      <c r="AF49" s="256" t="s">
        <v>301</v>
      </c>
      <c r="AG49" s="250">
        <v>5000</v>
      </c>
    </row>
    <row r="50" spans="2:33" x14ac:dyDescent="0.25">
      <c r="B50" s="3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28"/>
      <c r="R50" s="107"/>
      <c r="S50" s="107"/>
      <c r="T50" s="107"/>
      <c r="U50" s="107"/>
      <c r="V50" s="107"/>
      <c r="W50" s="107"/>
      <c r="X50" s="129"/>
      <c r="Y50" s="129"/>
      <c r="Z50" s="129"/>
      <c r="AA50" s="129"/>
      <c r="AB50" s="129"/>
      <c r="AC50" s="107"/>
      <c r="AD50" s="107"/>
      <c r="AE50" s="107"/>
      <c r="AF50" s="256" t="s">
        <v>196</v>
      </c>
      <c r="AG50" s="250">
        <v>50</v>
      </c>
    </row>
    <row r="51" spans="2:33" x14ac:dyDescent="0.25">
      <c r="B51" s="3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28"/>
      <c r="R51" s="107"/>
      <c r="S51" s="107"/>
      <c r="T51" s="107"/>
      <c r="U51" s="107"/>
      <c r="V51" s="107"/>
      <c r="W51" s="107"/>
      <c r="X51" s="129"/>
      <c r="Y51" s="129"/>
      <c r="Z51" s="129"/>
      <c r="AA51" s="129"/>
      <c r="AB51" s="129"/>
      <c r="AC51" s="107"/>
      <c r="AD51" s="107"/>
      <c r="AE51" s="107"/>
      <c r="AF51" s="256" t="s">
        <v>194</v>
      </c>
      <c r="AG51" s="250">
        <v>2000</v>
      </c>
    </row>
    <row r="52" spans="2:33" x14ac:dyDescent="0.25">
      <c r="B52" s="3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28"/>
      <c r="R52" s="107"/>
      <c r="S52" s="107"/>
      <c r="T52" s="107"/>
      <c r="U52" s="107"/>
      <c r="V52" s="107"/>
      <c r="W52" s="107"/>
      <c r="X52" s="129"/>
      <c r="Y52" s="129"/>
      <c r="Z52" s="129"/>
      <c r="AA52" s="129"/>
      <c r="AB52" s="129"/>
      <c r="AC52" s="107"/>
      <c r="AD52" s="107"/>
      <c r="AE52" s="107"/>
      <c r="AF52" s="256" t="s">
        <v>302</v>
      </c>
      <c r="AG52" s="120">
        <v>500</v>
      </c>
    </row>
    <row r="53" spans="2:33" ht="23.25" x14ac:dyDescent="0.25">
      <c r="B53" s="3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28"/>
      <c r="R53" s="107"/>
      <c r="S53" s="107"/>
      <c r="T53" s="107"/>
      <c r="U53" s="107"/>
      <c r="V53" s="107"/>
      <c r="W53" s="107"/>
      <c r="X53" s="129"/>
      <c r="Y53" s="129"/>
      <c r="Z53" s="129"/>
      <c r="AA53" s="129"/>
      <c r="AB53" s="129"/>
      <c r="AC53" s="107"/>
      <c r="AD53" s="107"/>
      <c r="AE53" s="107"/>
      <c r="AF53" s="257" t="s">
        <v>303</v>
      </c>
      <c r="AG53" s="250">
        <v>9000</v>
      </c>
    </row>
    <row r="54" spans="2:33" ht="34.5" x14ac:dyDescent="0.25">
      <c r="B54" s="3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28"/>
      <c r="R54" s="107"/>
      <c r="S54" s="107"/>
      <c r="T54" s="107"/>
      <c r="U54" s="107"/>
      <c r="V54" s="107"/>
      <c r="W54" s="107"/>
      <c r="X54" s="129"/>
      <c r="Y54" s="129"/>
      <c r="Z54" s="129"/>
      <c r="AA54" s="129"/>
      <c r="AB54" s="129"/>
      <c r="AC54" s="107"/>
      <c r="AD54" s="107"/>
      <c r="AE54" s="107"/>
      <c r="AF54" s="257" t="s">
        <v>304</v>
      </c>
      <c r="AG54" s="120">
        <v>150</v>
      </c>
    </row>
    <row r="55" spans="2:33" x14ac:dyDescent="0.25">
      <c r="B55" s="3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28"/>
      <c r="R55" s="107"/>
      <c r="S55" s="107"/>
      <c r="T55" s="107"/>
      <c r="U55" s="107"/>
      <c r="V55" s="107"/>
      <c r="W55" s="107"/>
      <c r="X55" s="129"/>
      <c r="Y55" s="129"/>
      <c r="Z55" s="129"/>
      <c r="AA55" s="129"/>
      <c r="AB55" s="129"/>
      <c r="AC55" s="107"/>
      <c r="AD55" s="107"/>
      <c r="AE55" s="107"/>
      <c r="AF55" s="257" t="s">
        <v>204</v>
      </c>
      <c r="AG55" s="120">
        <v>250</v>
      </c>
    </row>
    <row r="56" spans="2:33" x14ac:dyDescent="0.25">
      <c r="B56" s="3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28"/>
      <c r="R56" s="107"/>
      <c r="S56" s="107"/>
      <c r="T56" s="107"/>
      <c r="U56" s="107"/>
      <c r="V56" s="107"/>
      <c r="W56" s="107"/>
      <c r="X56" s="129"/>
      <c r="Y56" s="129"/>
      <c r="Z56" s="129"/>
      <c r="AA56" s="129"/>
      <c r="AB56" s="129"/>
      <c r="AC56" s="107"/>
      <c r="AD56" s="107"/>
      <c r="AE56" s="107"/>
      <c r="AF56" s="257" t="s">
        <v>305</v>
      </c>
      <c r="AG56" s="120">
        <v>500</v>
      </c>
    </row>
    <row r="57" spans="2:33" ht="23.25" x14ac:dyDescent="0.25">
      <c r="B57" s="3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28"/>
      <c r="R57" s="107"/>
      <c r="S57" s="107"/>
      <c r="T57" s="107"/>
      <c r="U57" s="107"/>
      <c r="V57" s="107"/>
      <c r="W57" s="107"/>
      <c r="X57" s="129"/>
      <c r="Y57" s="129"/>
      <c r="Z57" s="129"/>
      <c r="AA57" s="129"/>
      <c r="AB57" s="129"/>
      <c r="AC57" s="107"/>
      <c r="AD57" s="107"/>
      <c r="AE57" s="107"/>
      <c r="AF57" s="257" t="s">
        <v>306</v>
      </c>
      <c r="AG57" s="120">
        <v>200</v>
      </c>
    </row>
    <row r="58" spans="2:33" ht="15.75" thickBot="1" x14ac:dyDescent="0.3">
      <c r="B58" s="3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28"/>
      <c r="R58" s="107"/>
      <c r="S58" s="107"/>
      <c r="T58" s="107"/>
      <c r="U58" s="107"/>
      <c r="V58" s="107"/>
      <c r="W58" s="107"/>
      <c r="X58" s="129"/>
      <c r="Y58" s="129"/>
      <c r="Z58" s="129"/>
      <c r="AA58" s="129"/>
      <c r="AB58" s="129"/>
      <c r="AC58" s="107"/>
      <c r="AD58" s="107"/>
      <c r="AE58" s="107"/>
      <c r="AF58" s="252"/>
      <c r="AG58" s="258">
        <f>SUM(AG43:AG57)</f>
        <v>30125</v>
      </c>
    </row>
    <row r="59" spans="2:33" x14ac:dyDescent="0.25">
      <c r="B59" s="3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28"/>
      <c r="R59" s="107"/>
      <c r="S59" s="107"/>
      <c r="T59" s="107"/>
      <c r="U59" s="107"/>
      <c r="V59" s="107"/>
      <c r="W59" s="107"/>
      <c r="X59" s="129"/>
      <c r="Y59" s="129"/>
      <c r="Z59" s="129"/>
      <c r="AA59" s="129"/>
      <c r="AB59" s="129"/>
      <c r="AC59" s="107"/>
      <c r="AD59" s="107"/>
      <c r="AE59" s="107"/>
      <c r="AF59" s="129"/>
    </row>
    <row r="60" spans="2:33" x14ac:dyDescent="0.25">
      <c r="B60" s="3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28"/>
      <c r="R60" s="107"/>
      <c r="S60" s="107"/>
      <c r="T60" s="107"/>
      <c r="U60" s="107"/>
      <c r="V60" s="107"/>
      <c r="W60" s="107"/>
      <c r="X60" s="129"/>
      <c r="Y60" s="129"/>
      <c r="Z60" s="129"/>
      <c r="AA60" s="129"/>
      <c r="AB60" s="129"/>
      <c r="AC60" s="107"/>
      <c r="AD60" s="107"/>
      <c r="AE60" s="107"/>
      <c r="AF60" s="129"/>
    </row>
    <row r="61" spans="2:33" x14ac:dyDescent="0.25">
      <c r="B61" s="3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28"/>
      <c r="R61" s="107"/>
      <c r="S61" s="107"/>
      <c r="T61" s="107"/>
      <c r="U61" s="107"/>
      <c r="V61" s="107"/>
      <c r="W61" s="107"/>
      <c r="X61" s="129"/>
      <c r="Y61" s="129"/>
      <c r="Z61" s="129"/>
      <c r="AA61" s="129"/>
      <c r="AB61" s="129"/>
      <c r="AC61" s="107"/>
      <c r="AD61" s="107"/>
      <c r="AE61" s="107"/>
      <c r="AF61" s="129"/>
    </row>
    <row r="62" spans="2:33" x14ac:dyDescent="0.25">
      <c r="B62" s="3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28"/>
      <c r="R62" s="107"/>
      <c r="S62" s="107"/>
      <c r="T62" s="107"/>
      <c r="U62" s="107"/>
      <c r="V62" s="107"/>
      <c r="W62" s="107"/>
      <c r="X62" s="129"/>
      <c r="Y62" s="129"/>
      <c r="Z62" s="129"/>
      <c r="AA62" s="129"/>
      <c r="AB62" s="129"/>
      <c r="AC62" s="107"/>
      <c r="AD62" s="107"/>
      <c r="AE62" s="107"/>
      <c r="AF62" s="129"/>
    </row>
    <row r="63" spans="2:33" x14ac:dyDescent="0.25">
      <c r="B63" s="3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28"/>
      <c r="R63" s="107"/>
      <c r="S63" s="107"/>
      <c r="T63" s="107"/>
      <c r="U63" s="107"/>
      <c r="V63" s="107"/>
      <c r="W63" s="107"/>
      <c r="X63" s="129"/>
      <c r="Y63" s="129"/>
      <c r="Z63" s="129"/>
      <c r="AA63" s="129"/>
      <c r="AB63" s="129"/>
      <c r="AC63" s="107"/>
      <c r="AD63" s="107"/>
      <c r="AE63" s="107"/>
      <c r="AF63" s="129"/>
    </row>
    <row r="64" spans="2:33" x14ac:dyDescent="0.25">
      <c r="B64" s="3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28"/>
      <c r="R64" s="107"/>
      <c r="S64" s="107"/>
      <c r="T64" s="107"/>
      <c r="U64" s="107"/>
      <c r="V64" s="107"/>
      <c r="W64" s="107"/>
      <c r="X64" s="129"/>
      <c r="Y64" s="129"/>
      <c r="Z64" s="129"/>
      <c r="AA64" s="129"/>
      <c r="AB64" s="129"/>
      <c r="AC64" s="107"/>
      <c r="AD64" s="107"/>
      <c r="AE64" s="107"/>
      <c r="AF64" s="129"/>
    </row>
    <row r="65" spans="2:32" x14ac:dyDescent="0.25">
      <c r="B65" s="3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28"/>
      <c r="R65" s="107"/>
      <c r="S65" s="107"/>
      <c r="T65" s="107"/>
      <c r="U65" s="107"/>
      <c r="V65" s="107"/>
      <c r="W65" s="107"/>
      <c r="X65" s="129"/>
      <c r="Y65" s="129"/>
      <c r="Z65" s="129"/>
      <c r="AA65" s="129"/>
      <c r="AB65" s="129"/>
      <c r="AC65" s="107"/>
      <c r="AD65" s="107"/>
      <c r="AE65" s="107"/>
      <c r="AF65" s="129"/>
    </row>
    <row r="66" spans="2:32" x14ac:dyDescent="0.25">
      <c r="B66" s="3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28"/>
      <c r="R66" s="107"/>
      <c r="S66" s="107"/>
      <c r="T66" s="107"/>
      <c r="U66" s="107"/>
      <c r="V66" s="107"/>
      <c r="W66" s="107"/>
      <c r="X66" s="129"/>
      <c r="Y66" s="129"/>
      <c r="Z66" s="129"/>
      <c r="AA66" s="129"/>
      <c r="AB66" s="129"/>
      <c r="AC66" s="107"/>
      <c r="AD66" s="107"/>
      <c r="AE66" s="107"/>
      <c r="AF66" s="129"/>
    </row>
    <row r="67" spans="2:32" x14ac:dyDescent="0.25">
      <c r="B67" s="3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28"/>
      <c r="R67" s="107"/>
      <c r="S67" s="107"/>
      <c r="T67" s="107"/>
      <c r="U67" s="107"/>
      <c r="V67" s="107"/>
      <c r="W67" s="107"/>
      <c r="X67" s="129"/>
      <c r="Y67" s="129"/>
      <c r="Z67" s="129"/>
      <c r="AA67" s="129"/>
      <c r="AB67" s="129"/>
      <c r="AC67" s="107"/>
      <c r="AD67" s="107"/>
      <c r="AE67" s="107"/>
      <c r="AF67" s="129"/>
    </row>
    <row r="68" spans="2:32" x14ac:dyDescent="0.25">
      <c r="B68" s="3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28"/>
      <c r="R68" s="107"/>
      <c r="S68" s="107"/>
      <c r="T68" s="107"/>
      <c r="U68" s="107"/>
      <c r="V68" s="107"/>
      <c r="W68" s="107"/>
      <c r="X68" s="129"/>
      <c r="Y68" s="129"/>
      <c r="Z68" s="129"/>
      <c r="AA68" s="129"/>
      <c r="AB68" s="129"/>
      <c r="AC68" s="107"/>
      <c r="AD68" s="107"/>
      <c r="AE68" s="107"/>
      <c r="AF68" s="129"/>
    </row>
    <row r="69" spans="2:32" x14ac:dyDescent="0.25">
      <c r="B69" s="3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28"/>
      <c r="R69" s="107"/>
      <c r="S69" s="107"/>
      <c r="T69" s="107"/>
      <c r="U69" s="107"/>
      <c r="V69" s="107"/>
      <c r="W69" s="107"/>
      <c r="X69" s="129"/>
      <c r="Y69" s="129"/>
      <c r="Z69" s="129"/>
      <c r="AA69" s="129"/>
      <c r="AB69" s="129"/>
      <c r="AC69" s="107"/>
      <c r="AD69" s="107"/>
      <c r="AE69" s="107"/>
      <c r="AF69" s="129"/>
    </row>
    <row r="70" spans="2:32" x14ac:dyDescent="0.25">
      <c r="B70" s="3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28"/>
      <c r="R70" s="107"/>
      <c r="S70" s="107"/>
      <c r="T70" s="107"/>
      <c r="U70" s="107"/>
      <c r="V70" s="107"/>
      <c r="W70" s="107"/>
      <c r="X70" s="129"/>
      <c r="Y70" s="129"/>
      <c r="Z70" s="129"/>
      <c r="AA70" s="129"/>
      <c r="AB70" s="129"/>
      <c r="AC70" s="107"/>
      <c r="AD70" s="107"/>
      <c r="AE70" s="107"/>
      <c r="AF70" s="129"/>
    </row>
    <row r="71" spans="2:32" x14ac:dyDescent="0.25">
      <c r="B71" s="3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28"/>
      <c r="R71" s="107"/>
      <c r="S71" s="107"/>
      <c r="T71" s="107"/>
      <c r="U71" s="107"/>
      <c r="V71" s="107"/>
      <c r="W71" s="107"/>
      <c r="X71" s="129"/>
      <c r="Y71" s="129"/>
      <c r="Z71" s="129"/>
      <c r="AA71" s="129"/>
      <c r="AB71" s="129"/>
      <c r="AC71" s="107"/>
      <c r="AD71" s="107"/>
      <c r="AE71" s="107"/>
      <c r="AF71" s="129"/>
    </row>
    <row r="72" spans="2:32" x14ac:dyDescent="0.25">
      <c r="B72" s="3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28"/>
      <c r="R72" s="107"/>
      <c r="S72" s="107"/>
      <c r="T72" s="107"/>
      <c r="U72" s="107"/>
      <c r="V72" s="107"/>
      <c r="W72" s="107"/>
      <c r="X72" s="129"/>
      <c r="Y72" s="129"/>
      <c r="Z72" s="129"/>
      <c r="AA72" s="129"/>
      <c r="AB72" s="129"/>
      <c r="AC72" s="107"/>
      <c r="AD72" s="107"/>
      <c r="AE72" s="107"/>
      <c r="AF72" s="129"/>
    </row>
    <row r="73" spans="2:32" x14ac:dyDescent="0.25">
      <c r="B73" s="3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28"/>
      <c r="R73" s="107"/>
      <c r="S73" s="107"/>
      <c r="T73" s="107"/>
      <c r="U73" s="107"/>
      <c r="V73" s="107"/>
      <c r="W73" s="107"/>
      <c r="X73" s="129"/>
      <c r="Y73" s="129"/>
      <c r="Z73" s="129"/>
      <c r="AA73" s="129"/>
      <c r="AB73" s="129"/>
      <c r="AC73" s="107"/>
      <c r="AD73" s="107"/>
      <c r="AE73" s="107"/>
      <c r="AF73" s="129"/>
    </row>
    <row r="74" spans="2:32" x14ac:dyDescent="0.25">
      <c r="B74" s="3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28"/>
      <c r="R74" s="107"/>
      <c r="S74" s="107"/>
      <c r="T74" s="107"/>
      <c r="U74" s="107"/>
      <c r="V74" s="107"/>
      <c r="W74" s="107"/>
      <c r="X74" s="129"/>
      <c r="Y74" s="129"/>
      <c r="Z74" s="129"/>
      <c r="AA74" s="129"/>
      <c r="AB74" s="129"/>
      <c r="AC74" s="107"/>
      <c r="AD74" s="107"/>
      <c r="AE74" s="107"/>
      <c r="AF74" s="129"/>
    </row>
    <row r="75" spans="2:32" x14ac:dyDescent="0.25">
      <c r="B75" s="3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28"/>
      <c r="R75" s="107"/>
      <c r="S75" s="107"/>
      <c r="T75" s="107"/>
      <c r="U75" s="107"/>
      <c r="V75" s="107"/>
      <c r="W75" s="107"/>
      <c r="X75" s="129"/>
      <c r="Y75" s="129"/>
      <c r="Z75" s="129"/>
      <c r="AA75" s="129"/>
      <c r="AB75" s="129"/>
      <c r="AC75" s="107"/>
      <c r="AD75" s="107"/>
      <c r="AE75" s="107"/>
      <c r="AF75" s="129"/>
    </row>
    <row r="76" spans="2:32" x14ac:dyDescent="0.25">
      <c r="B76" s="3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28"/>
      <c r="R76" s="107"/>
      <c r="S76" s="107"/>
      <c r="T76" s="107"/>
      <c r="U76" s="107"/>
      <c r="V76" s="107"/>
      <c r="W76" s="107"/>
      <c r="X76" s="129"/>
      <c r="Y76" s="129"/>
      <c r="Z76" s="129"/>
      <c r="AA76" s="129"/>
      <c r="AB76" s="129"/>
      <c r="AC76" s="107"/>
      <c r="AD76" s="107"/>
      <c r="AE76" s="107"/>
      <c r="AF76" s="129"/>
    </row>
    <row r="77" spans="2:32" x14ac:dyDescent="0.25">
      <c r="B77" s="3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28"/>
      <c r="R77" s="107"/>
      <c r="S77" s="107"/>
      <c r="T77" s="107"/>
      <c r="U77" s="107"/>
      <c r="V77" s="107"/>
      <c r="W77" s="107"/>
      <c r="X77" s="129"/>
      <c r="Y77" s="129"/>
      <c r="Z77" s="129"/>
      <c r="AA77" s="129"/>
      <c r="AB77" s="129"/>
      <c r="AC77" s="107"/>
      <c r="AD77" s="107"/>
      <c r="AE77" s="107"/>
      <c r="AF77" s="129"/>
    </row>
    <row r="78" spans="2:32" x14ac:dyDescent="0.25">
      <c r="B78" s="3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28"/>
      <c r="R78" s="107"/>
      <c r="S78" s="107"/>
      <c r="T78" s="107"/>
      <c r="U78" s="107"/>
      <c r="V78" s="107"/>
      <c r="W78" s="107"/>
      <c r="X78" s="129"/>
      <c r="Y78" s="129"/>
      <c r="Z78" s="129"/>
      <c r="AA78" s="129"/>
      <c r="AB78" s="129"/>
      <c r="AC78" s="107"/>
      <c r="AD78" s="107"/>
      <c r="AE78" s="107"/>
      <c r="AF78" s="129"/>
    </row>
    <row r="79" spans="2:32" x14ac:dyDescent="0.25">
      <c r="B79" s="3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28"/>
      <c r="R79" s="107"/>
      <c r="S79" s="107"/>
      <c r="T79" s="107"/>
      <c r="U79" s="107"/>
      <c r="V79" s="107"/>
      <c r="W79" s="107"/>
      <c r="X79" s="129"/>
      <c r="Y79" s="129"/>
      <c r="Z79" s="129"/>
      <c r="AA79" s="129"/>
      <c r="AB79" s="129"/>
      <c r="AC79" s="107"/>
      <c r="AD79" s="107"/>
      <c r="AE79" s="107"/>
      <c r="AF79" s="129"/>
    </row>
    <row r="80" spans="2:32" x14ac:dyDescent="0.25">
      <c r="B80" s="3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28"/>
      <c r="R80" s="107"/>
      <c r="S80" s="107"/>
      <c r="T80" s="107"/>
      <c r="U80" s="107"/>
      <c r="V80" s="107"/>
      <c r="W80" s="107"/>
      <c r="X80" s="129"/>
      <c r="Y80" s="129"/>
      <c r="Z80" s="129"/>
      <c r="AA80" s="129"/>
      <c r="AB80" s="129"/>
      <c r="AC80" s="107"/>
      <c r="AD80" s="107"/>
      <c r="AE80" s="107"/>
      <c r="AF80" s="129"/>
    </row>
    <row r="81" spans="2:32" x14ac:dyDescent="0.25">
      <c r="B81" s="3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28"/>
      <c r="R81" s="107"/>
      <c r="S81" s="107"/>
      <c r="T81" s="107"/>
      <c r="U81" s="107"/>
      <c r="V81" s="107"/>
      <c r="W81" s="107"/>
      <c r="X81" s="129"/>
      <c r="Y81" s="129"/>
      <c r="Z81" s="129"/>
      <c r="AA81" s="129"/>
      <c r="AB81" s="129"/>
      <c r="AC81" s="107"/>
      <c r="AD81" s="107"/>
      <c r="AE81" s="107"/>
      <c r="AF81" s="129"/>
    </row>
    <row r="82" spans="2:32" x14ac:dyDescent="0.25">
      <c r="B82" s="3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28"/>
      <c r="R82" s="107"/>
      <c r="S82" s="107"/>
      <c r="T82" s="107"/>
      <c r="U82" s="107"/>
      <c r="V82" s="107"/>
      <c r="W82" s="107"/>
      <c r="X82" s="129"/>
      <c r="Y82" s="129"/>
      <c r="Z82" s="129"/>
      <c r="AA82" s="129"/>
      <c r="AB82" s="129"/>
      <c r="AC82" s="107"/>
      <c r="AD82" s="107"/>
      <c r="AE82" s="107"/>
      <c r="AF82" s="129"/>
    </row>
    <row r="83" spans="2:32" x14ac:dyDescent="0.25">
      <c r="B83" s="3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28"/>
      <c r="R83" s="107"/>
      <c r="S83" s="107"/>
      <c r="T83" s="107"/>
      <c r="U83" s="107"/>
      <c r="V83" s="107"/>
      <c r="W83" s="107"/>
      <c r="X83" s="129"/>
      <c r="Y83" s="129"/>
      <c r="Z83" s="129"/>
      <c r="AA83" s="129"/>
      <c r="AB83" s="129"/>
      <c r="AC83" s="107"/>
      <c r="AD83" s="107"/>
      <c r="AE83" s="107"/>
      <c r="AF83" s="129"/>
    </row>
    <row r="84" spans="2:32" x14ac:dyDescent="0.25">
      <c r="B84" s="3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28"/>
      <c r="R84" s="107"/>
      <c r="S84" s="107"/>
      <c r="T84" s="107"/>
      <c r="U84" s="107"/>
      <c r="V84" s="107"/>
      <c r="W84" s="107"/>
      <c r="X84" s="129"/>
      <c r="Y84" s="129"/>
      <c r="Z84" s="129"/>
      <c r="AA84" s="129"/>
      <c r="AB84" s="129"/>
      <c r="AC84" s="107"/>
      <c r="AD84" s="107"/>
      <c r="AE84" s="107"/>
      <c r="AF84" s="129"/>
    </row>
    <row r="85" spans="2:32" x14ac:dyDescent="0.25">
      <c r="B85" s="3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28"/>
      <c r="R85" s="107"/>
      <c r="S85" s="107"/>
      <c r="T85" s="107"/>
      <c r="U85" s="107"/>
      <c r="V85" s="107"/>
      <c r="W85" s="107"/>
      <c r="X85" s="129"/>
      <c r="Y85" s="129"/>
      <c r="Z85" s="129"/>
      <c r="AA85" s="129"/>
      <c r="AB85" s="129"/>
      <c r="AC85" s="107"/>
      <c r="AD85" s="107"/>
      <c r="AE85" s="107"/>
      <c r="AF85" s="129"/>
    </row>
    <row r="86" spans="2:32" x14ac:dyDescent="0.25">
      <c r="B86" s="3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28"/>
      <c r="R86" s="107"/>
      <c r="S86" s="107"/>
      <c r="T86" s="107"/>
      <c r="U86" s="107"/>
      <c r="V86" s="107"/>
      <c r="W86" s="107"/>
      <c r="X86" s="129"/>
      <c r="Y86" s="129"/>
      <c r="Z86" s="129"/>
      <c r="AA86" s="129"/>
      <c r="AB86" s="129"/>
      <c r="AC86" s="107"/>
      <c r="AD86" s="107"/>
      <c r="AE86" s="107"/>
      <c r="AF86" s="129"/>
    </row>
    <row r="87" spans="2:32" x14ac:dyDescent="0.25">
      <c r="B87" s="3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28"/>
      <c r="R87" s="107"/>
      <c r="S87" s="107"/>
      <c r="T87" s="107"/>
      <c r="U87" s="107"/>
      <c r="V87" s="107"/>
      <c r="W87" s="107"/>
      <c r="X87" s="129"/>
      <c r="Y87" s="129"/>
      <c r="Z87" s="129"/>
      <c r="AA87" s="129"/>
      <c r="AB87" s="129"/>
      <c r="AC87" s="107"/>
      <c r="AD87" s="107"/>
      <c r="AE87" s="107"/>
      <c r="AF87" s="129"/>
    </row>
    <row r="88" spans="2:32" x14ac:dyDescent="0.25">
      <c r="B88" s="3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28"/>
      <c r="R88" s="107"/>
      <c r="S88" s="107"/>
      <c r="T88" s="107"/>
      <c r="U88" s="107"/>
      <c r="V88" s="107"/>
      <c r="W88" s="107"/>
      <c r="X88" s="129"/>
      <c r="Y88" s="129"/>
      <c r="Z88" s="129"/>
      <c r="AA88" s="129"/>
      <c r="AB88" s="129"/>
      <c r="AC88" s="107"/>
      <c r="AD88" s="107"/>
      <c r="AE88" s="107"/>
      <c r="AF88" s="129"/>
    </row>
    <row r="89" spans="2:32" x14ac:dyDescent="0.25">
      <c r="B89" s="3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28"/>
      <c r="R89" s="107"/>
      <c r="S89" s="107"/>
      <c r="T89" s="107"/>
      <c r="U89" s="107"/>
      <c r="V89" s="107"/>
      <c r="W89" s="107"/>
      <c r="X89" s="129"/>
      <c r="Y89" s="129"/>
      <c r="Z89" s="129"/>
      <c r="AA89" s="129"/>
      <c r="AB89" s="129"/>
      <c r="AC89" s="107"/>
      <c r="AD89" s="107"/>
      <c r="AE89" s="107"/>
      <c r="AF89" s="129"/>
    </row>
    <row r="90" spans="2:32" x14ac:dyDescent="0.25">
      <c r="B90" s="3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28"/>
      <c r="R90" s="107"/>
      <c r="S90" s="107"/>
      <c r="T90" s="107"/>
      <c r="U90" s="107"/>
      <c r="V90" s="107"/>
      <c r="W90" s="107"/>
      <c r="X90" s="129"/>
      <c r="Y90" s="129"/>
      <c r="Z90" s="129"/>
      <c r="AA90" s="129"/>
      <c r="AB90" s="129"/>
      <c r="AC90" s="107"/>
      <c r="AD90" s="107"/>
      <c r="AE90" s="107"/>
      <c r="AF90" s="129"/>
    </row>
    <row r="91" spans="2:32" x14ac:dyDescent="0.25">
      <c r="B91" s="3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28"/>
      <c r="R91" s="107"/>
      <c r="S91" s="107"/>
      <c r="T91" s="107"/>
      <c r="U91" s="107"/>
      <c r="V91" s="107"/>
      <c r="W91" s="107"/>
      <c r="X91" s="129"/>
      <c r="Y91" s="129"/>
      <c r="Z91" s="129"/>
      <c r="AA91" s="129"/>
      <c r="AB91" s="129"/>
      <c r="AC91" s="107"/>
      <c r="AD91" s="107"/>
      <c r="AE91" s="107"/>
      <c r="AF91" s="129"/>
    </row>
    <row r="92" spans="2:32" x14ac:dyDescent="0.25">
      <c r="B92" s="3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28"/>
      <c r="R92" s="107"/>
      <c r="S92" s="107"/>
      <c r="T92" s="107"/>
      <c r="U92" s="107"/>
      <c r="V92" s="107"/>
      <c r="W92" s="107"/>
      <c r="X92" s="129"/>
      <c r="Y92" s="129"/>
      <c r="Z92" s="129"/>
      <c r="AA92" s="129"/>
      <c r="AB92" s="129"/>
      <c r="AC92" s="107"/>
      <c r="AD92" s="107"/>
      <c r="AE92" s="107"/>
      <c r="AF92" s="129"/>
    </row>
    <row r="93" spans="2:32" x14ac:dyDescent="0.25">
      <c r="B93" s="3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28"/>
      <c r="R93" s="107"/>
      <c r="S93" s="107"/>
      <c r="T93" s="107"/>
      <c r="U93" s="107"/>
      <c r="V93" s="107"/>
      <c r="W93" s="107"/>
      <c r="X93" s="129"/>
      <c r="Y93" s="129"/>
      <c r="Z93" s="129"/>
      <c r="AA93" s="129"/>
      <c r="AB93" s="129"/>
      <c r="AC93" s="107"/>
      <c r="AD93" s="107"/>
      <c r="AE93" s="107"/>
      <c r="AF93" s="129"/>
    </row>
    <row r="94" spans="2:32" x14ac:dyDescent="0.25">
      <c r="B94" s="3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28"/>
      <c r="R94" s="107"/>
      <c r="S94" s="107"/>
      <c r="T94" s="107"/>
      <c r="U94" s="107"/>
      <c r="V94" s="107"/>
      <c r="W94" s="107"/>
      <c r="X94" s="129"/>
      <c r="Y94" s="129"/>
      <c r="Z94" s="129"/>
      <c r="AA94" s="129"/>
      <c r="AB94" s="129"/>
      <c r="AC94" s="107"/>
      <c r="AD94" s="107"/>
      <c r="AE94" s="107"/>
      <c r="AF94" s="129"/>
    </row>
    <row r="95" spans="2:32" x14ac:dyDescent="0.25">
      <c r="B95" s="3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28"/>
      <c r="R95" s="107"/>
      <c r="S95" s="107"/>
      <c r="T95" s="107"/>
      <c r="U95" s="107"/>
      <c r="V95" s="107"/>
      <c r="W95" s="107"/>
      <c r="X95" s="129"/>
      <c r="Y95" s="129"/>
      <c r="Z95" s="129"/>
      <c r="AA95" s="129"/>
      <c r="AB95" s="129"/>
      <c r="AC95" s="107"/>
      <c r="AD95" s="107"/>
      <c r="AE95" s="107"/>
      <c r="AF95" s="129"/>
    </row>
    <row r="96" spans="2:32" x14ac:dyDescent="0.25">
      <c r="B96" s="3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28"/>
      <c r="R96" s="107"/>
      <c r="S96" s="107"/>
      <c r="T96" s="107"/>
      <c r="U96" s="107"/>
      <c r="V96" s="107"/>
      <c r="W96" s="107"/>
      <c r="X96" s="129"/>
      <c r="Y96" s="129"/>
      <c r="Z96" s="129"/>
      <c r="AA96" s="129"/>
      <c r="AB96" s="129"/>
      <c r="AC96" s="107"/>
      <c r="AD96" s="107"/>
      <c r="AE96" s="107"/>
      <c r="AF96" s="129"/>
    </row>
    <row r="97" spans="2:32" x14ac:dyDescent="0.25">
      <c r="B97" s="3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28"/>
      <c r="R97" s="107"/>
      <c r="S97" s="107"/>
      <c r="T97" s="107"/>
      <c r="U97" s="107"/>
      <c r="V97" s="107"/>
      <c r="W97" s="107"/>
      <c r="X97" s="129"/>
      <c r="Y97" s="129"/>
      <c r="Z97" s="129"/>
      <c r="AA97" s="129"/>
      <c r="AB97" s="129"/>
      <c r="AC97" s="107"/>
      <c r="AD97" s="107"/>
      <c r="AE97" s="107"/>
      <c r="AF97" s="129"/>
    </row>
    <row r="98" spans="2:32" x14ac:dyDescent="0.25">
      <c r="B98" s="3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28"/>
      <c r="R98" s="107"/>
      <c r="S98" s="107"/>
      <c r="T98" s="107"/>
      <c r="U98" s="107"/>
      <c r="V98" s="107"/>
      <c r="W98" s="107"/>
      <c r="X98" s="129"/>
      <c r="Y98" s="129"/>
      <c r="Z98" s="129"/>
      <c r="AA98" s="129"/>
      <c r="AB98" s="129"/>
      <c r="AC98" s="107"/>
      <c r="AD98" s="107"/>
      <c r="AE98" s="107"/>
      <c r="AF98" s="129"/>
    </row>
    <row r="99" spans="2:32" x14ac:dyDescent="0.25">
      <c r="B99" s="3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28"/>
      <c r="R99" s="107"/>
      <c r="S99" s="107"/>
      <c r="T99" s="107"/>
      <c r="U99" s="107"/>
      <c r="V99" s="107"/>
      <c r="W99" s="107"/>
      <c r="X99" s="129"/>
      <c r="Y99" s="129"/>
      <c r="Z99" s="129"/>
      <c r="AA99" s="129"/>
      <c r="AB99" s="129"/>
      <c r="AC99" s="107"/>
      <c r="AD99" s="107"/>
      <c r="AE99" s="107"/>
      <c r="AF99" s="129"/>
    </row>
    <row r="100" spans="2:32" x14ac:dyDescent="0.25">
      <c r="B100" s="3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28"/>
      <c r="R100" s="107"/>
      <c r="S100" s="107"/>
      <c r="T100" s="107"/>
      <c r="U100" s="107"/>
      <c r="V100" s="107"/>
      <c r="W100" s="107"/>
      <c r="X100" s="129"/>
      <c r="Y100" s="129"/>
      <c r="Z100" s="129"/>
      <c r="AA100" s="129"/>
      <c r="AB100" s="129"/>
      <c r="AC100" s="107"/>
      <c r="AD100" s="107"/>
      <c r="AE100" s="107"/>
      <c r="AF100" s="129"/>
    </row>
    <row r="101" spans="2:32" x14ac:dyDescent="0.25">
      <c r="B101" s="3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28"/>
      <c r="R101" s="107"/>
      <c r="S101" s="107"/>
      <c r="T101" s="107"/>
      <c r="U101" s="107"/>
      <c r="V101" s="107"/>
      <c r="W101" s="107"/>
      <c r="X101" s="129"/>
      <c r="Y101" s="129"/>
      <c r="Z101" s="129"/>
      <c r="AA101" s="129"/>
      <c r="AB101" s="129"/>
      <c r="AC101" s="107"/>
      <c r="AD101" s="107"/>
      <c r="AE101" s="107"/>
      <c r="AF101" s="129"/>
    </row>
    <row r="102" spans="2:32" x14ac:dyDescent="0.25">
      <c r="B102" s="3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28"/>
      <c r="R102" s="107"/>
      <c r="S102" s="107"/>
      <c r="T102" s="107"/>
      <c r="U102" s="107"/>
      <c r="V102" s="107"/>
      <c r="W102" s="107"/>
      <c r="X102" s="129"/>
      <c r="Y102" s="129"/>
      <c r="Z102" s="129"/>
      <c r="AA102" s="129"/>
      <c r="AB102" s="129"/>
      <c r="AC102" s="107"/>
      <c r="AD102" s="107"/>
      <c r="AE102" s="107"/>
      <c r="AF102" s="129"/>
    </row>
    <row r="103" spans="2:32" x14ac:dyDescent="0.25">
      <c r="B103" s="3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28"/>
      <c r="R103" s="107"/>
      <c r="S103" s="107"/>
      <c r="T103" s="107"/>
      <c r="U103" s="107"/>
      <c r="V103" s="107"/>
      <c r="W103" s="107"/>
      <c r="X103" s="129"/>
      <c r="Y103" s="129"/>
      <c r="Z103" s="129"/>
      <c r="AA103" s="129"/>
      <c r="AB103" s="129"/>
      <c r="AC103" s="107"/>
      <c r="AD103" s="107"/>
      <c r="AE103" s="107"/>
      <c r="AF103" s="129"/>
    </row>
    <row r="104" spans="2:32" x14ac:dyDescent="0.25">
      <c r="B104" s="3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28"/>
      <c r="R104" s="107"/>
      <c r="S104" s="107"/>
      <c r="T104" s="107"/>
      <c r="U104" s="107"/>
      <c r="V104" s="107"/>
      <c r="W104" s="107"/>
      <c r="X104" s="129"/>
      <c r="Y104" s="129"/>
      <c r="Z104" s="129"/>
      <c r="AA104" s="129"/>
      <c r="AB104" s="129"/>
      <c r="AC104" s="107"/>
      <c r="AD104" s="107"/>
      <c r="AE104" s="107"/>
      <c r="AF104" s="129"/>
    </row>
    <row r="105" spans="2:32" x14ac:dyDescent="0.25">
      <c r="B105" s="3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28"/>
      <c r="R105" s="107"/>
      <c r="S105" s="107"/>
      <c r="T105" s="107"/>
      <c r="U105" s="107"/>
      <c r="V105" s="107"/>
      <c r="W105" s="107"/>
      <c r="X105" s="129"/>
      <c r="Y105" s="129"/>
      <c r="Z105" s="129"/>
      <c r="AA105" s="129"/>
      <c r="AB105" s="129"/>
      <c r="AC105" s="107"/>
      <c r="AD105" s="107"/>
      <c r="AE105" s="107"/>
      <c r="AF105" s="129"/>
    </row>
    <row r="106" spans="2:32" x14ac:dyDescent="0.25">
      <c r="B106" s="3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28"/>
      <c r="R106" s="107"/>
      <c r="S106" s="107"/>
      <c r="T106" s="107"/>
      <c r="U106" s="107"/>
      <c r="V106" s="107"/>
      <c r="W106" s="107"/>
      <c r="X106" s="129"/>
      <c r="Y106" s="129"/>
      <c r="Z106" s="129"/>
      <c r="AA106" s="129"/>
      <c r="AB106" s="129"/>
      <c r="AC106" s="107"/>
      <c r="AD106" s="107"/>
      <c r="AE106" s="107"/>
      <c r="AF106" s="129"/>
    </row>
    <row r="107" spans="2:32" x14ac:dyDescent="0.25">
      <c r="B107" s="3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28"/>
      <c r="R107" s="107"/>
      <c r="S107" s="107"/>
      <c r="T107" s="107"/>
      <c r="U107" s="107"/>
      <c r="V107" s="107"/>
      <c r="W107" s="107"/>
      <c r="X107" s="129"/>
      <c r="Y107" s="129"/>
      <c r="Z107" s="129"/>
      <c r="AA107" s="129"/>
      <c r="AB107" s="129"/>
      <c r="AC107" s="107"/>
      <c r="AD107" s="107"/>
      <c r="AE107" s="107"/>
      <c r="AF107" s="129"/>
    </row>
    <row r="108" spans="2:32" x14ac:dyDescent="0.25">
      <c r="B108" s="3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28"/>
      <c r="R108" s="107"/>
      <c r="S108" s="107"/>
      <c r="T108" s="107"/>
      <c r="U108" s="107"/>
      <c r="V108" s="107"/>
      <c r="W108" s="107"/>
      <c r="X108" s="129"/>
      <c r="Y108" s="129"/>
      <c r="Z108" s="129"/>
      <c r="AA108" s="129"/>
      <c r="AB108" s="129"/>
      <c r="AC108" s="107"/>
      <c r="AD108" s="107"/>
      <c r="AE108" s="107"/>
      <c r="AF108" s="129"/>
    </row>
    <row r="109" spans="2:32" x14ac:dyDescent="0.25">
      <c r="B109" s="3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28"/>
      <c r="R109" s="107"/>
      <c r="S109" s="107"/>
      <c r="T109" s="107"/>
      <c r="U109" s="107"/>
      <c r="V109" s="107"/>
      <c r="W109" s="107"/>
      <c r="X109" s="129"/>
      <c r="Y109" s="129"/>
      <c r="Z109" s="129"/>
      <c r="AA109" s="129"/>
      <c r="AB109" s="129"/>
      <c r="AC109" s="107"/>
      <c r="AD109" s="107"/>
      <c r="AE109" s="107"/>
      <c r="AF109" s="129"/>
    </row>
    <row r="110" spans="2:32" x14ac:dyDescent="0.25">
      <c r="B110" s="3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28"/>
      <c r="R110" s="107"/>
      <c r="S110" s="107"/>
      <c r="T110" s="107"/>
      <c r="U110" s="107"/>
      <c r="V110" s="107"/>
      <c r="W110" s="107"/>
      <c r="X110" s="129"/>
      <c r="Y110" s="129"/>
      <c r="Z110" s="129"/>
      <c r="AA110" s="129"/>
      <c r="AB110" s="129"/>
      <c r="AC110" s="107"/>
      <c r="AD110" s="107"/>
      <c r="AE110" s="107"/>
      <c r="AF110" s="129"/>
    </row>
    <row r="111" spans="2:32" x14ac:dyDescent="0.25">
      <c r="B111" s="3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28"/>
      <c r="R111" s="107"/>
      <c r="S111" s="107"/>
      <c r="T111" s="107"/>
      <c r="U111" s="107"/>
      <c r="V111" s="107"/>
      <c r="W111" s="107"/>
      <c r="X111" s="129"/>
      <c r="Y111" s="129"/>
      <c r="Z111" s="129"/>
      <c r="AA111" s="129"/>
      <c r="AB111" s="129"/>
      <c r="AC111" s="107"/>
      <c r="AD111" s="107"/>
      <c r="AE111" s="107"/>
      <c r="AF111" s="129"/>
    </row>
    <row r="112" spans="2:32" x14ac:dyDescent="0.25">
      <c r="B112" s="3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28"/>
      <c r="R112" s="107"/>
      <c r="S112" s="107"/>
      <c r="T112" s="107"/>
      <c r="U112" s="107"/>
      <c r="V112" s="107"/>
      <c r="W112" s="107"/>
      <c r="X112" s="129"/>
      <c r="Y112" s="129"/>
      <c r="Z112" s="129"/>
      <c r="AA112" s="129"/>
      <c r="AB112" s="129"/>
      <c r="AC112" s="107"/>
      <c r="AD112" s="107"/>
      <c r="AE112" s="107"/>
      <c r="AF112" s="129"/>
    </row>
    <row r="113" spans="2:32" x14ac:dyDescent="0.25">
      <c r="B113" s="3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28"/>
      <c r="R113" s="107"/>
      <c r="S113" s="107"/>
      <c r="T113" s="107"/>
      <c r="U113" s="107"/>
      <c r="V113" s="107"/>
      <c r="W113" s="107"/>
      <c r="X113" s="129"/>
      <c r="Y113" s="129"/>
      <c r="Z113" s="129"/>
      <c r="AA113" s="129"/>
      <c r="AB113" s="129"/>
      <c r="AC113" s="107"/>
      <c r="AD113" s="107"/>
      <c r="AE113" s="107"/>
      <c r="AF113" s="129"/>
    </row>
    <row r="114" spans="2:32" x14ac:dyDescent="0.25">
      <c r="B114" s="3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28"/>
      <c r="R114" s="107"/>
      <c r="S114" s="107"/>
      <c r="T114" s="107"/>
      <c r="U114" s="107"/>
      <c r="V114" s="107"/>
      <c r="W114" s="107"/>
      <c r="X114" s="129"/>
      <c r="Y114" s="129"/>
      <c r="Z114" s="129"/>
      <c r="AA114" s="129"/>
      <c r="AB114" s="129"/>
      <c r="AC114" s="107"/>
      <c r="AD114" s="107"/>
      <c r="AE114" s="107"/>
      <c r="AF114" s="129"/>
    </row>
    <row r="115" spans="2:32" x14ac:dyDescent="0.25">
      <c r="B115" s="3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28"/>
      <c r="R115" s="107"/>
      <c r="S115" s="107"/>
      <c r="T115" s="107"/>
      <c r="U115" s="107"/>
      <c r="V115" s="107"/>
      <c r="W115" s="107"/>
      <c r="X115" s="129"/>
      <c r="Y115" s="129"/>
      <c r="Z115" s="129"/>
      <c r="AA115" s="129"/>
      <c r="AB115" s="129"/>
      <c r="AC115" s="107"/>
      <c r="AD115" s="107"/>
      <c r="AE115" s="107"/>
      <c r="AF115" s="129"/>
    </row>
    <row r="116" spans="2:32" x14ac:dyDescent="0.25">
      <c r="B116" s="3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28"/>
      <c r="R116" s="107"/>
      <c r="S116" s="107"/>
      <c r="T116" s="107"/>
      <c r="U116" s="107"/>
      <c r="V116" s="107"/>
      <c r="W116" s="107"/>
      <c r="X116" s="129"/>
      <c r="Y116" s="129"/>
      <c r="Z116" s="129"/>
      <c r="AA116" s="129"/>
      <c r="AB116" s="129"/>
      <c r="AC116" s="107"/>
      <c r="AD116" s="107"/>
      <c r="AE116" s="107"/>
      <c r="AF116" s="129"/>
    </row>
    <row r="117" spans="2:32" x14ac:dyDescent="0.25">
      <c r="B117" s="3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28"/>
      <c r="R117" s="107"/>
      <c r="S117" s="107"/>
      <c r="T117" s="107"/>
      <c r="U117" s="107"/>
      <c r="V117" s="107"/>
      <c r="W117" s="107"/>
      <c r="X117" s="129"/>
      <c r="Y117" s="129"/>
      <c r="Z117" s="129"/>
      <c r="AA117" s="129"/>
      <c r="AB117" s="129"/>
      <c r="AC117" s="107"/>
      <c r="AD117" s="107"/>
      <c r="AE117" s="107"/>
      <c r="AF117" s="129"/>
    </row>
    <row r="118" spans="2:32" x14ac:dyDescent="0.25">
      <c r="B118" s="3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28"/>
      <c r="R118" s="107"/>
      <c r="S118" s="107"/>
      <c r="T118" s="107"/>
      <c r="U118" s="107"/>
      <c r="V118" s="107"/>
      <c r="W118" s="107"/>
      <c r="X118" s="129"/>
      <c r="Y118" s="129"/>
      <c r="Z118" s="129"/>
      <c r="AA118" s="129"/>
      <c r="AB118" s="129"/>
      <c r="AC118" s="107"/>
      <c r="AD118" s="107"/>
      <c r="AE118" s="107"/>
      <c r="AF118" s="129"/>
    </row>
    <row r="119" spans="2:32" x14ac:dyDescent="0.25">
      <c r="B119" s="3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28"/>
      <c r="R119" s="107"/>
      <c r="S119" s="107"/>
      <c r="T119" s="107"/>
      <c r="U119" s="107"/>
      <c r="V119" s="107"/>
      <c r="W119" s="107"/>
      <c r="X119" s="129"/>
      <c r="Y119" s="129"/>
      <c r="Z119" s="129"/>
      <c r="AA119" s="129"/>
      <c r="AB119" s="129"/>
      <c r="AC119" s="107"/>
      <c r="AD119" s="107"/>
      <c r="AE119" s="107"/>
      <c r="AF119" s="129"/>
    </row>
    <row r="120" spans="2:32" x14ac:dyDescent="0.25">
      <c r="B120" s="3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28"/>
      <c r="R120" s="107"/>
      <c r="S120" s="107"/>
      <c r="T120" s="107"/>
      <c r="U120" s="107"/>
      <c r="V120" s="107"/>
      <c r="W120" s="107"/>
      <c r="X120" s="129"/>
      <c r="Y120" s="129"/>
      <c r="Z120" s="129"/>
      <c r="AA120" s="129"/>
      <c r="AB120" s="129"/>
      <c r="AC120" s="107"/>
      <c r="AD120" s="107"/>
      <c r="AE120" s="107"/>
      <c r="AF120" s="129"/>
    </row>
    <row r="121" spans="2:32" x14ac:dyDescent="0.25">
      <c r="B121" s="3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28"/>
      <c r="R121" s="107"/>
      <c r="S121" s="107"/>
      <c r="T121" s="107"/>
      <c r="U121" s="107"/>
      <c r="V121" s="107"/>
      <c r="W121" s="107"/>
      <c r="X121" s="129"/>
      <c r="Y121" s="129"/>
      <c r="Z121" s="129"/>
      <c r="AA121" s="129"/>
      <c r="AB121" s="129"/>
      <c r="AC121" s="107"/>
      <c r="AD121" s="107"/>
      <c r="AE121" s="107"/>
      <c r="AF121" s="129"/>
    </row>
    <row r="122" spans="2:32" x14ac:dyDescent="0.25">
      <c r="B122" s="3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28"/>
      <c r="R122" s="107"/>
      <c r="S122" s="107"/>
      <c r="T122" s="107"/>
      <c r="U122" s="107"/>
      <c r="V122" s="107"/>
      <c r="W122" s="107"/>
      <c r="X122" s="129"/>
      <c r="Y122" s="129"/>
      <c r="Z122" s="129"/>
      <c r="AA122" s="129"/>
      <c r="AB122" s="129"/>
      <c r="AC122" s="107"/>
      <c r="AD122" s="107"/>
      <c r="AE122" s="107"/>
      <c r="AF122" s="129"/>
    </row>
    <row r="123" spans="2:32" x14ac:dyDescent="0.25">
      <c r="B123" s="3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28"/>
      <c r="R123" s="107"/>
      <c r="S123" s="107"/>
      <c r="T123" s="107"/>
      <c r="U123" s="107"/>
      <c r="V123" s="107"/>
      <c r="W123" s="107"/>
      <c r="X123" s="129"/>
      <c r="Y123" s="129"/>
      <c r="Z123" s="129"/>
      <c r="AA123" s="129"/>
      <c r="AB123" s="129"/>
      <c r="AC123" s="107"/>
      <c r="AD123" s="107"/>
      <c r="AE123" s="107"/>
      <c r="AF123" s="129"/>
    </row>
    <row r="124" spans="2:32" x14ac:dyDescent="0.25">
      <c r="B124" s="3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28"/>
      <c r="R124" s="107"/>
      <c r="S124" s="107"/>
      <c r="T124" s="107"/>
      <c r="U124" s="107"/>
      <c r="V124" s="107"/>
      <c r="W124" s="107"/>
      <c r="X124" s="129"/>
      <c r="Y124" s="129"/>
      <c r="Z124" s="129"/>
      <c r="AA124" s="129"/>
      <c r="AB124" s="129"/>
      <c r="AC124" s="107"/>
      <c r="AD124" s="107"/>
      <c r="AE124" s="107"/>
      <c r="AF124" s="129"/>
    </row>
    <row r="125" spans="2:32" x14ac:dyDescent="0.25">
      <c r="B125" s="3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28"/>
      <c r="R125" s="107"/>
      <c r="S125" s="107"/>
      <c r="T125" s="107"/>
      <c r="U125" s="107"/>
      <c r="V125" s="107"/>
      <c r="W125" s="107"/>
      <c r="X125" s="129"/>
      <c r="Y125" s="129"/>
      <c r="Z125" s="129"/>
      <c r="AA125" s="129"/>
      <c r="AB125" s="129"/>
      <c r="AC125" s="107"/>
      <c r="AD125" s="107"/>
      <c r="AE125" s="107"/>
      <c r="AF125" s="129"/>
    </row>
    <row r="126" spans="2:32" x14ac:dyDescent="0.25">
      <c r="B126" s="3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28"/>
      <c r="R126" s="107"/>
      <c r="S126" s="107"/>
      <c r="T126" s="107"/>
      <c r="U126" s="107"/>
      <c r="V126" s="107"/>
      <c r="W126" s="107"/>
      <c r="X126" s="129"/>
      <c r="Y126" s="129"/>
      <c r="Z126" s="129"/>
      <c r="AA126" s="129"/>
      <c r="AB126" s="129"/>
      <c r="AC126" s="107"/>
      <c r="AD126" s="107"/>
      <c r="AE126" s="107"/>
      <c r="AF126" s="129"/>
    </row>
    <row r="127" spans="2:32" x14ac:dyDescent="0.25">
      <c r="B127" s="3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28"/>
      <c r="R127" s="107"/>
      <c r="S127" s="107"/>
      <c r="T127" s="107"/>
      <c r="U127" s="107"/>
      <c r="V127" s="107"/>
      <c r="W127" s="107"/>
      <c r="X127" s="129"/>
      <c r="Y127" s="129"/>
      <c r="Z127" s="129"/>
      <c r="AA127" s="129"/>
      <c r="AB127" s="129"/>
      <c r="AC127" s="107"/>
      <c r="AD127" s="107"/>
      <c r="AE127" s="107"/>
      <c r="AF127" s="129"/>
    </row>
    <row r="128" spans="2:32" x14ac:dyDescent="0.25">
      <c r="B128" s="3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28"/>
      <c r="R128" s="107"/>
      <c r="S128" s="107"/>
      <c r="T128" s="107"/>
      <c r="U128" s="107"/>
      <c r="V128" s="107"/>
      <c r="W128" s="107"/>
      <c r="X128" s="129"/>
      <c r="Y128" s="129"/>
      <c r="Z128" s="129"/>
      <c r="AA128" s="129"/>
      <c r="AB128" s="129"/>
      <c r="AC128" s="107"/>
      <c r="AD128" s="107"/>
      <c r="AE128" s="107"/>
      <c r="AF128" s="129"/>
    </row>
    <row r="129" spans="2:32" x14ac:dyDescent="0.25">
      <c r="B129" s="3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28"/>
      <c r="R129" s="107"/>
      <c r="S129" s="107"/>
      <c r="T129" s="107"/>
      <c r="U129" s="107"/>
      <c r="V129" s="107"/>
      <c r="W129" s="107"/>
      <c r="X129" s="129"/>
      <c r="Y129" s="129"/>
      <c r="Z129" s="129"/>
      <c r="AA129" s="129"/>
      <c r="AB129" s="129"/>
      <c r="AC129" s="107"/>
      <c r="AD129" s="107"/>
      <c r="AE129" s="107"/>
      <c r="AF129" s="129"/>
    </row>
    <row r="130" spans="2:32" x14ac:dyDescent="0.25">
      <c r="B130" s="3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28"/>
      <c r="R130" s="107"/>
      <c r="S130" s="107"/>
      <c r="T130" s="107"/>
      <c r="U130" s="107"/>
      <c r="V130" s="107"/>
      <c r="W130" s="107"/>
      <c r="X130" s="129"/>
      <c r="Y130" s="129"/>
      <c r="Z130" s="129"/>
      <c r="AA130" s="129"/>
      <c r="AB130" s="129"/>
      <c r="AC130" s="107"/>
      <c r="AD130" s="107"/>
      <c r="AE130" s="107"/>
      <c r="AF130" s="129"/>
    </row>
    <row r="131" spans="2:32" x14ac:dyDescent="0.25">
      <c r="B131" s="3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28"/>
      <c r="R131" s="107"/>
      <c r="S131" s="107"/>
      <c r="T131" s="107"/>
      <c r="U131" s="107"/>
      <c r="V131" s="107"/>
      <c r="W131" s="107"/>
      <c r="X131" s="129"/>
      <c r="Y131" s="129"/>
      <c r="Z131" s="129"/>
      <c r="AA131" s="129"/>
      <c r="AB131" s="129"/>
      <c r="AC131" s="107"/>
      <c r="AD131" s="107"/>
      <c r="AE131" s="107"/>
      <c r="AF131" s="129"/>
    </row>
    <row r="132" spans="2:32" x14ac:dyDescent="0.25">
      <c r="B132" s="3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28"/>
      <c r="R132" s="107"/>
      <c r="S132" s="107"/>
      <c r="T132" s="107"/>
      <c r="U132" s="107"/>
      <c r="V132" s="107"/>
      <c r="W132" s="107"/>
      <c r="X132" s="129"/>
      <c r="Y132" s="129"/>
      <c r="Z132" s="129"/>
      <c r="AA132" s="129"/>
      <c r="AB132" s="129"/>
      <c r="AC132" s="107"/>
      <c r="AD132" s="107"/>
      <c r="AE132" s="107"/>
      <c r="AF132" s="129"/>
    </row>
    <row r="133" spans="2:32" x14ac:dyDescent="0.25">
      <c r="B133" s="3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28"/>
      <c r="R133" s="107"/>
      <c r="S133" s="107"/>
      <c r="T133" s="107"/>
      <c r="U133" s="107"/>
      <c r="V133" s="107"/>
      <c r="W133" s="107"/>
      <c r="X133" s="129"/>
      <c r="Y133" s="129"/>
      <c r="Z133" s="129"/>
      <c r="AA133" s="129"/>
      <c r="AB133" s="129"/>
      <c r="AC133" s="107"/>
      <c r="AD133" s="107"/>
      <c r="AE133" s="107"/>
      <c r="AF133" s="129"/>
    </row>
    <row r="134" spans="2:32" x14ac:dyDescent="0.25">
      <c r="B134" s="3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28"/>
      <c r="R134" s="107"/>
      <c r="S134" s="107"/>
      <c r="T134" s="107"/>
      <c r="U134" s="107"/>
      <c r="V134" s="107"/>
      <c r="W134" s="107"/>
      <c r="X134" s="129"/>
      <c r="Y134" s="129"/>
      <c r="Z134" s="129"/>
      <c r="AA134" s="129"/>
      <c r="AB134" s="129"/>
      <c r="AC134" s="107"/>
      <c r="AD134" s="107"/>
      <c r="AE134" s="107"/>
      <c r="AF134" s="129"/>
    </row>
    <row r="135" spans="2:32" x14ac:dyDescent="0.25">
      <c r="B135" s="3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28"/>
      <c r="R135" s="107"/>
      <c r="S135" s="107"/>
      <c r="T135" s="107"/>
      <c r="U135" s="107"/>
      <c r="V135" s="107"/>
      <c r="W135" s="107"/>
      <c r="X135" s="129"/>
      <c r="Y135" s="129"/>
      <c r="Z135" s="129"/>
      <c r="AA135" s="129"/>
      <c r="AB135" s="129"/>
      <c r="AC135" s="107"/>
      <c r="AD135" s="107"/>
      <c r="AE135" s="107"/>
      <c r="AF135" s="129"/>
    </row>
    <row r="136" spans="2:32" x14ac:dyDescent="0.25">
      <c r="B136" s="3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28"/>
      <c r="R136" s="107"/>
      <c r="S136" s="107"/>
      <c r="T136" s="107"/>
      <c r="U136" s="107"/>
      <c r="V136" s="107"/>
      <c r="W136" s="107"/>
      <c r="X136" s="129"/>
      <c r="Y136" s="129"/>
      <c r="Z136" s="129"/>
      <c r="AA136" s="129"/>
      <c r="AB136" s="129"/>
      <c r="AC136" s="107"/>
      <c r="AD136" s="107"/>
      <c r="AE136" s="107"/>
      <c r="AF136" s="129"/>
    </row>
    <row r="137" spans="2:32" x14ac:dyDescent="0.25">
      <c r="B137" s="3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28"/>
      <c r="R137" s="107"/>
      <c r="S137" s="107"/>
      <c r="T137" s="107"/>
      <c r="U137" s="107"/>
      <c r="V137" s="107"/>
      <c r="W137" s="107"/>
      <c r="X137" s="129"/>
      <c r="Y137" s="129"/>
      <c r="Z137" s="129"/>
      <c r="AA137" s="129"/>
      <c r="AB137" s="129"/>
      <c r="AC137" s="107"/>
      <c r="AD137" s="107"/>
      <c r="AE137" s="107"/>
      <c r="AF137" s="129"/>
    </row>
    <row r="138" spans="2:32" x14ac:dyDescent="0.25">
      <c r="B138" s="3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28"/>
      <c r="R138" s="107"/>
      <c r="S138" s="107"/>
      <c r="T138" s="107"/>
      <c r="U138" s="107"/>
      <c r="V138" s="107"/>
      <c r="W138" s="107"/>
      <c r="X138" s="129"/>
      <c r="Y138" s="129"/>
      <c r="Z138" s="129"/>
      <c r="AA138" s="129"/>
      <c r="AB138" s="129"/>
      <c r="AC138" s="107"/>
      <c r="AD138" s="107"/>
      <c r="AE138" s="107"/>
      <c r="AF138" s="129"/>
    </row>
    <row r="139" spans="2:32" x14ac:dyDescent="0.25">
      <c r="B139" s="3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28"/>
      <c r="R139" s="107"/>
      <c r="S139" s="107"/>
      <c r="T139" s="107"/>
      <c r="U139" s="107"/>
      <c r="V139" s="107"/>
      <c r="W139" s="107"/>
      <c r="X139" s="129"/>
      <c r="Y139" s="129"/>
      <c r="Z139" s="129"/>
      <c r="AA139" s="129"/>
      <c r="AB139" s="129"/>
      <c r="AC139" s="107"/>
      <c r="AD139" s="107"/>
      <c r="AE139" s="107"/>
      <c r="AF139" s="129"/>
    </row>
    <row r="140" spans="2:32" x14ac:dyDescent="0.25">
      <c r="B140" s="3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28"/>
      <c r="R140" s="107"/>
      <c r="S140" s="107"/>
      <c r="T140" s="107"/>
      <c r="U140" s="107"/>
      <c r="V140" s="107"/>
      <c r="W140" s="107"/>
      <c r="X140" s="129"/>
      <c r="Y140" s="129"/>
      <c r="Z140" s="129"/>
      <c r="AA140" s="129"/>
      <c r="AB140" s="129"/>
      <c r="AC140" s="107"/>
      <c r="AD140" s="107"/>
      <c r="AE140" s="107"/>
      <c r="AF140" s="129"/>
    </row>
    <row r="141" spans="2:32" x14ac:dyDescent="0.25">
      <c r="B141" s="3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28"/>
      <c r="R141" s="107"/>
      <c r="S141" s="107"/>
      <c r="T141" s="107"/>
      <c r="U141" s="107"/>
      <c r="V141" s="107"/>
      <c r="W141" s="107"/>
      <c r="X141" s="129"/>
      <c r="Y141" s="129"/>
      <c r="Z141" s="129"/>
      <c r="AA141" s="129"/>
      <c r="AB141" s="129"/>
      <c r="AC141" s="107"/>
      <c r="AD141" s="107"/>
      <c r="AE141" s="107"/>
      <c r="AF141" s="129"/>
    </row>
    <row r="142" spans="2:32" x14ac:dyDescent="0.25">
      <c r="B142" s="3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28"/>
      <c r="R142" s="107"/>
      <c r="S142" s="107"/>
      <c r="T142" s="107"/>
      <c r="U142" s="107"/>
      <c r="V142" s="107"/>
      <c r="W142" s="107"/>
      <c r="X142" s="129"/>
      <c r="Y142" s="129"/>
      <c r="Z142" s="129"/>
      <c r="AA142" s="129"/>
      <c r="AB142" s="129"/>
      <c r="AC142" s="107"/>
      <c r="AD142" s="107"/>
      <c r="AE142" s="107"/>
      <c r="AF142" s="129"/>
    </row>
    <row r="143" spans="2:32" x14ac:dyDescent="0.25">
      <c r="B143" s="3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28"/>
      <c r="R143" s="107"/>
      <c r="S143" s="107"/>
      <c r="T143" s="107"/>
      <c r="U143" s="107"/>
      <c r="V143" s="107"/>
      <c r="W143" s="107"/>
      <c r="X143" s="129"/>
      <c r="Y143" s="129"/>
      <c r="Z143" s="129"/>
      <c r="AA143" s="129"/>
      <c r="AB143" s="129"/>
      <c r="AC143" s="107"/>
      <c r="AD143" s="107"/>
      <c r="AE143" s="107"/>
      <c r="AF143" s="129"/>
    </row>
    <row r="144" spans="2:32" x14ac:dyDescent="0.25">
      <c r="B144" s="3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28"/>
      <c r="R144" s="107"/>
      <c r="S144" s="107"/>
      <c r="T144" s="107"/>
      <c r="U144" s="107"/>
      <c r="V144" s="107"/>
      <c r="W144" s="107"/>
      <c r="X144" s="129"/>
      <c r="Y144" s="129"/>
      <c r="Z144" s="129"/>
      <c r="AA144" s="129"/>
      <c r="AB144" s="129"/>
      <c r="AC144" s="107"/>
      <c r="AD144" s="107"/>
      <c r="AE144" s="107"/>
      <c r="AF144" s="129"/>
    </row>
    <row r="145" spans="2:32" x14ac:dyDescent="0.25">
      <c r="B145" s="3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28"/>
      <c r="R145" s="107"/>
      <c r="S145" s="107"/>
      <c r="T145" s="107"/>
      <c r="U145" s="107"/>
      <c r="V145" s="107"/>
      <c r="W145" s="107"/>
      <c r="X145" s="129"/>
      <c r="Y145" s="129"/>
      <c r="Z145" s="129"/>
      <c r="AA145" s="129"/>
      <c r="AB145" s="129"/>
      <c r="AC145" s="107"/>
      <c r="AD145" s="107"/>
      <c r="AE145" s="107"/>
      <c r="AF145" s="129"/>
    </row>
    <row r="146" spans="2:32" x14ac:dyDescent="0.25">
      <c r="B146" s="3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28"/>
      <c r="R146" s="107"/>
      <c r="S146" s="107"/>
      <c r="T146" s="107"/>
      <c r="U146" s="107"/>
      <c r="V146" s="107"/>
      <c r="W146" s="107"/>
      <c r="X146" s="129"/>
      <c r="Y146" s="129"/>
      <c r="Z146" s="129"/>
      <c r="AA146" s="129"/>
      <c r="AB146" s="129"/>
      <c r="AC146" s="107"/>
      <c r="AD146" s="107"/>
      <c r="AE146" s="107"/>
      <c r="AF146" s="129"/>
    </row>
    <row r="147" spans="2:32" x14ac:dyDescent="0.25">
      <c r="B147" s="3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28"/>
      <c r="R147" s="107"/>
      <c r="S147" s="107"/>
      <c r="T147" s="107"/>
      <c r="U147" s="107"/>
      <c r="V147" s="107"/>
      <c r="W147" s="107"/>
      <c r="X147" s="129"/>
      <c r="Y147" s="129"/>
      <c r="Z147" s="129"/>
      <c r="AA147" s="129"/>
      <c r="AB147" s="129"/>
      <c r="AC147" s="107"/>
      <c r="AD147" s="107"/>
      <c r="AE147" s="107"/>
      <c r="AF147" s="129"/>
    </row>
    <row r="148" spans="2:32" x14ac:dyDescent="0.25">
      <c r="B148" s="3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28"/>
      <c r="R148" s="107"/>
      <c r="S148" s="107"/>
      <c r="T148" s="107"/>
      <c r="U148" s="107"/>
      <c r="V148" s="107"/>
      <c r="W148" s="107"/>
      <c r="X148" s="129"/>
      <c r="Y148" s="129"/>
      <c r="Z148" s="129"/>
      <c r="AA148" s="129"/>
      <c r="AB148" s="129"/>
      <c r="AC148" s="107"/>
      <c r="AD148" s="107"/>
      <c r="AE148" s="107"/>
      <c r="AF148" s="129"/>
    </row>
    <row r="149" spans="2:32" x14ac:dyDescent="0.25">
      <c r="B149" s="3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28"/>
      <c r="R149" s="107"/>
      <c r="S149" s="107"/>
      <c r="T149" s="107"/>
      <c r="U149" s="107"/>
      <c r="V149" s="107"/>
      <c r="W149" s="107"/>
      <c r="X149" s="129"/>
      <c r="Y149" s="129"/>
      <c r="Z149" s="129"/>
      <c r="AA149" s="129"/>
      <c r="AB149" s="129"/>
      <c r="AC149" s="107"/>
      <c r="AD149" s="107"/>
      <c r="AE149" s="107"/>
      <c r="AF149" s="129"/>
    </row>
    <row r="150" spans="2:32" x14ac:dyDescent="0.25">
      <c r="B150" s="3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28"/>
      <c r="R150" s="107"/>
      <c r="S150" s="107"/>
      <c r="T150" s="107"/>
      <c r="U150" s="107"/>
      <c r="V150" s="107"/>
      <c r="W150" s="107"/>
      <c r="X150" s="129"/>
      <c r="Y150" s="129"/>
      <c r="Z150" s="129"/>
      <c r="AA150" s="129"/>
      <c r="AB150" s="129"/>
      <c r="AC150" s="107"/>
      <c r="AD150" s="107"/>
      <c r="AE150" s="107"/>
      <c r="AF150" s="129"/>
    </row>
    <row r="151" spans="2:32" x14ac:dyDescent="0.25">
      <c r="B151" s="3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28"/>
      <c r="R151" s="107"/>
      <c r="S151" s="107"/>
      <c r="T151" s="107"/>
      <c r="U151" s="107"/>
      <c r="V151" s="107"/>
      <c r="W151" s="107"/>
      <c r="X151" s="129"/>
      <c r="Y151" s="129"/>
      <c r="Z151" s="129"/>
      <c r="AA151" s="129"/>
      <c r="AB151" s="129"/>
      <c r="AC151" s="107"/>
      <c r="AD151" s="107"/>
      <c r="AE151" s="107"/>
      <c r="AF151" s="129"/>
    </row>
    <row r="152" spans="2:32" x14ac:dyDescent="0.25">
      <c r="B152" s="3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28"/>
      <c r="R152" s="107"/>
      <c r="S152" s="107"/>
      <c r="T152" s="107"/>
      <c r="U152" s="107"/>
      <c r="V152" s="107"/>
      <c r="W152" s="107"/>
      <c r="X152" s="129"/>
      <c r="Y152" s="129"/>
      <c r="Z152" s="129"/>
      <c r="AA152" s="129"/>
      <c r="AB152" s="129"/>
      <c r="AC152" s="107"/>
      <c r="AD152" s="107"/>
      <c r="AE152" s="107"/>
      <c r="AF152" s="129"/>
    </row>
    <row r="153" spans="2:32" x14ac:dyDescent="0.25">
      <c r="B153" s="3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28"/>
      <c r="R153" s="107"/>
      <c r="S153" s="107"/>
      <c r="T153" s="107"/>
      <c r="U153" s="107"/>
      <c r="V153" s="107"/>
      <c r="W153" s="107"/>
      <c r="X153" s="129"/>
      <c r="Y153" s="129"/>
      <c r="Z153" s="129"/>
      <c r="AA153" s="129"/>
      <c r="AB153" s="129"/>
      <c r="AC153" s="107"/>
      <c r="AD153" s="107"/>
      <c r="AE153" s="107"/>
      <c r="AF153" s="129"/>
    </row>
    <row r="154" spans="2:32" x14ac:dyDescent="0.25">
      <c r="B154" s="3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28"/>
      <c r="R154" s="107"/>
      <c r="S154" s="107"/>
      <c r="T154" s="107"/>
      <c r="U154" s="107"/>
      <c r="V154" s="107"/>
      <c r="W154" s="107"/>
      <c r="X154" s="129"/>
      <c r="Y154" s="129"/>
      <c r="Z154" s="129"/>
      <c r="AA154" s="129"/>
      <c r="AB154" s="129"/>
      <c r="AC154" s="107"/>
      <c r="AD154" s="107"/>
      <c r="AE154" s="107"/>
      <c r="AF154" s="129"/>
    </row>
    <row r="155" spans="2:32" x14ac:dyDescent="0.25">
      <c r="B155" s="3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28"/>
      <c r="R155" s="107"/>
      <c r="S155" s="107"/>
      <c r="T155" s="107"/>
      <c r="U155" s="107"/>
      <c r="V155" s="107"/>
      <c r="W155" s="107"/>
      <c r="X155" s="129"/>
      <c r="Y155" s="129"/>
      <c r="Z155" s="129"/>
      <c r="AA155" s="129"/>
      <c r="AB155" s="129"/>
      <c r="AC155" s="107"/>
      <c r="AD155" s="107"/>
      <c r="AE155" s="107"/>
      <c r="AF155" s="129"/>
    </row>
    <row r="156" spans="2:32" x14ac:dyDescent="0.25">
      <c r="B156" s="3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28"/>
      <c r="R156" s="107"/>
      <c r="S156" s="107"/>
      <c r="T156" s="107"/>
      <c r="U156" s="107"/>
      <c r="V156" s="107"/>
      <c r="W156" s="107"/>
      <c r="X156" s="129"/>
      <c r="Y156" s="129"/>
      <c r="Z156" s="129"/>
      <c r="AA156" s="129"/>
      <c r="AB156" s="129"/>
      <c r="AC156" s="107"/>
      <c r="AD156" s="107"/>
      <c r="AE156" s="107"/>
      <c r="AF156" s="129"/>
    </row>
    <row r="157" spans="2:32" x14ac:dyDescent="0.25">
      <c r="B157" s="3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28"/>
      <c r="R157" s="107"/>
      <c r="S157" s="107"/>
      <c r="T157" s="107"/>
      <c r="U157" s="107"/>
      <c r="V157" s="107"/>
      <c r="W157" s="107"/>
      <c r="X157" s="129"/>
      <c r="Y157" s="129"/>
      <c r="Z157" s="129"/>
      <c r="AA157" s="129"/>
      <c r="AB157" s="129"/>
      <c r="AC157" s="107"/>
      <c r="AD157" s="107"/>
      <c r="AE157" s="107"/>
      <c r="AF157" s="129"/>
    </row>
    <row r="158" spans="2:32" x14ac:dyDescent="0.25">
      <c r="B158" s="3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28"/>
      <c r="R158" s="107"/>
      <c r="S158" s="107"/>
      <c r="T158" s="107"/>
      <c r="U158" s="107"/>
      <c r="V158" s="107"/>
      <c r="W158" s="107"/>
      <c r="X158" s="129"/>
      <c r="Y158" s="129"/>
      <c r="Z158" s="129"/>
      <c r="AA158" s="129"/>
      <c r="AB158" s="129"/>
      <c r="AC158" s="107"/>
      <c r="AD158" s="107"/>
      <c r="AE158" s="107"/>
      <c r="AF158" s="129"/>
    </row>
    <row r="159" spans="2:32" x14ac:dyDescent="0.25">
      <c r="B159" s="3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28"/>
      <c r="R159" s="107"/>
      <c r="S159" s="107"/>
      <c r="T159" s="107"/>
      <c r="U159" s="107"/>
      <c r="V159" s="107"/>
      <c r="W159" s="107"/>
      <c r="X159" s="129"/>
      <c r="Y159" s="129"/>
      <c r="Z159" s="129"/>
      <c r="AA159" s="129"/>
      <c r="AB159" s="129"/>
      <c r="AC159" s="107"/>
      <c r="AD159" s="107"/>
      <c r="AE159" s="107"/>
      <c r="AF159" s="129"/>
    </row>
    <row r="160" spans="2:32" x14ac:dyDescent="0.25">
      <c r="B160" s="3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28"/>
      <c r="R160" s="107"/>
      <c r="S160" s="107"/>
      <c r="T160" s="107"/>
      <c r="U160" s="107"/>
      <c r="V160" s="107"/>
      <c r="W160" s="107"/>
      <c r="X160" s="129"/>
      <c r="Y160" s="129"/>
      <c r="Z160" s="129"/>
      <c r="AA160" s="129"/>
      <c r="AB160" s="129"/>
      <c r="AC160" s="107"/>
      <c r="AD160" s="107"/>
      <c r="AE160" s="107"/>
      <c r="AF160" s="129"/>
    </row>
    <row r="161" spans="2:32" x14ac:dyDescent="0.25">
      <c r="B161" s="3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28"/>
      <c r="R161" s="107"/>
      <c r="S161" s="107"/>
      <c r="T161" s="107"/>
      <c r="U161" s="107"/>
      <c r="V161" s="107"/>
      <c r="W161" s="107"/>
      <c r="X161" s="129"/>
      <c r="Y161" s="129"/>
      <c r="Z161" s="129"/>
      <c r="AA161" s="129"/>
      <c r="AB161" s="129"/>
      <c r="AC161" s="107"/>
      <c r="AD161" s="107"/>
      <c r="AE161" s="107"/>
      <c r="AF161" s="129"/>
    </row>
    <row r="162" spans="2:32" x14ac:dyDescent="0.25">
      <c r="B162" s="3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28"/>
      <c r="R162" s="107"/>
      <c r="S162" s="107"/>
      <c r="T162" s="107"/>
      <c r="U162" s="107"/>
      <c r="V162" s="107"/>
      <c r="W162" s="107"/>
      <c r="X162" s="129"/>
      <c r="Y162" s="129"/>
      <c r="Z162" s="129"/>
      <c r="AA162" s="129"/>
      <c r="AB162" s="129"/>
      <c r="AC162" s="107"/>
      <c r="AD162" s="107"/>
      <c r="AE162" s="107"/>
      <c r="AF162" s="129"/>
    </row>
    <row r="163" spans="2:32" x14ac:dyDescent="0.25">
      <c r="B163" s="3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28"/>
      <c r="R163" s="107"/>
      <c r="S163" s="107"/>
      <c r="T163" s="107"/>
      <c r="U163" s="107"/>
      <c r="V163" s="107"/>
      <c r="W163" s="107"/>
      <c r="X163" s="129"/>
      <c r="Y163" s="129"/>
      <c r="Z163" s="129"/>
      <c r="AA163" s="129"/>
      <c r="AB163" s="129"/>
      <c r="AC163" s="107"/>
      <c r="AD163" s="107"/>
      <c r="AE163" s="107"/>
      <c r="AF163" s="129"/>
    </row>
    <row r="164" spans="2:32" x14ac:dyDescent="0.25">
      <c r="B164" s="3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28"/>
      <c r="R164" s="107"/>
      <c r="S164" s="107"/>
      <c r="T164" s="107"/>
      <c r="U164" s="107"/>
      <c r="V164" s="107"/>
      <c r="W164" s="107"/>
      <c r="X164" s="129"/>
      <c r="Y164" s="129"/>
      <c r="Z164" s="129"/>
      <c r="AA164" s="129"/>
      <c r="AB164" s="129"/>
      <c r="AC164" s="107"/>
      <c r="AD164" s="107"/>
      <c r="AE164" s="107"/>
      <c r="AF164" s="129"/>
    </row>
    <row r="165" spans="2:32" x14ac:dyDescent="0.25">
      <c r="B165" s="3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28"/>
      <c r="R165" s="107"/>
      <c r="S165" s="107"/>
      <c r="T165" s="107"/>
      <c r="U165" s="107"/>
      <c r="V165" s="107"/>
      <c r="W165" s="107"/>
      <c r="X165" s="129"/>
      <c r="Y165" s="129"/>
      <c r="Z165" s="129"/>
      <c r="AA165" s="129"/>
      <c r="AB165" s="129"/>
      <c r="AC165" s="107"/>
      <c r="AD165" s="107"/>
      <c r="AE165" s="107"/>
      <c r="AF165" s="129"/>
    </row>
    <row r="166" spans="2:32" x14ac:dyDescent="0.25">
      <c r="B166" s="3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28"/>
      <c r="R166" s="107"/>
      <c r="S166" s="107"/>
      <c r="T166" s="107"/>
      <c r="U166" s="107"/>
      <c r="V166" s="107"/>
      <c r="W166" s="107"/>
      <c r="X166" s="129"/>
      <c r="Y166" s="129"/>
      <c r="Z166" s="129"/>
      <c r="AA166" s="129"/>
      <c r="AB166" s="129"/>
      <c r="AC166" s="107"/>
      <c r="AD166" s="107"/>
      <c r="AE166" s="107"/>
      <c r="AF166" s="129"/>
    </row>
    <row r="167" spans="2:32" x14ac:dyDescent="0.25">
      <c r="B167" s="3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28"/>
      <c r="R167" s="107"/>
      <c r="S167" s="107"/>
      <c r="T167" s="107"/>
      <c r="U167" s="107"/>
      <c r="V167" s="107"/>
      <c r="W167" s="107"/>
      <c r="X167" s="129"/>
      <c r="Y167" s="129"/>
      <c r="Z167" s="129"/>
      <c r="AA167" s="129"/>
      <c r="AB167" s="129"/>
      <c r="AC167" s="107"/>
      <c r="AD167" s="107"/>
      <c r="AE167" s="107"/>
      <c r="AF167" s="129"/>
    </row>
    <row r="168" spans="2:32" x14ac:dyDescent="0.25">
      <c r="B168" s="3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28"/>
      <c r="R168" s="107"/>
      <c r="S168" s="107"/>
      <c r="T168" s="107"/>
      <c r="U168" s="107"/>
      <c r="V168" s="107"/>
      <c r="W168" s="107"/>
      <c r="X168" s="129"/>
      <c r="Y168" s="129"/>
      <c r="Z168" s="129"/>
      <c r="AA168" s="129"/>
      <c r="AB168" s="129"/>
      <c r="AC168" s="107"/>
      <c r="AD168" s="107"/>
      <c r="AE168" s="107"/>
      <c r="AF168" s="129"/>
    </row>
    <row r="169" spans="2:32" x14ac:dyDescent="0.25">
      <c r="B169" s="3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28"/>
      <c r="R169" s="107"/>
      <c r="S169" s="107"/>
      <c r="T169" s="107"/>
      <c r="U169" s="107"/>
      <c r="V169" s="107"/>
      <c r="W169" s="107"/>
      <c r="X169" s="129"/>
      <c r="Y169" s="129"/>
      <c r="Z169" s="129"/>
      <c r="AA169" s="129"/>
      <c r="AB169" s="129"/>
      <c r="AC169" s="107"/>
      <c r="AD169" s="107"/>
      <c r="AE169" s="107"/>
      <c r="AF169" s="129"/>
    </row>
    <row r="170" spans="2:32" x14ac:dyDescent="0.25">
      <c r="B170" s="3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28"/>
      <c r="R170" s="107"/>
      <c r="S170" s="107"/>
      <c r="T170" s="107"/>
      <c r="U170" s="107"/>
      <c r="V170" s="107"/>
      <c r="W170" s="107"/>
      <c r="X170" s="129"/>
      <c r="Y170" s="129"/>
      <c r="Z170" s="129"/>
      <c r="AA170" s="129"/>
      <c r="AB170" s="129"/>
      <c r="AC170" s="107"/>
      <c r="AD170" s="107"/>
      <c r="AE170" s="107"/>
      <c r="AF170" s="129"/>
    </row>
    <row r="171" spans="2:32" x14ac:dyDescent="0.25">
      <c r="B171" s="3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28"/>
      <c r="R171" s="107"/>
      <c r="S171" s="107"/>
      <c r="T171" s="107"/>
      <c r="U171" s="107"/>
      <c r="V171" s="107"/>
      <c r="W171" s="107"/>
      <c r="X171" s="129"/>
      <c r="Y171" s="129"/>
      <c r="Z171" s="129"/>
      <c r="AA171" s="129"/>
      <c r="AB171" s="129"/>
      <c r="AC171" s="107"/>
      <c r="AD171" s="107"/>
      <c r="AE171" s="107"/>
      <c r="AF171" s="129"/>
    </row>
    <row r="172" spans="2:32" x14ac:dyDescent="0.25">
      <c r="B172" s="3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28"/>
      <c r="R172" s="107"/>
      <c r="S172" s="107"/>
      <c r="T172" s="107"/>
      <c r="U172" s="107"/>
      <c r="V172" s="107"/>
      <c r="W172" s="107"/>
      <c r="X172" s="129"/>
      <c r="Y172" s="129"/>
      <c r="Z172" s="129"/>
      <c r="AA172" s="129"/>
      <c r="AB172" s="129"/>
      <c r="AC172" s="107"/>
      <c r="AD172" s="107"/>
      <c r="AE172" s="107"/>
      <c r="AF172" s="129"/>
    </row>
    <row r="173" spans="2:32" x14ac:dyDescent="0.25">
      <c r="B173" s="3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28"/>
      <c r="R173" s="107"/>
      <c r="S173" s="107"/>
      <c r="T173" s="107"/>
      <c r="U173" s="107"/>
      <c r="V173" s="107"/>
      <c r="W173" s="107"/>
      <c r="X173" s="129"/>
      <c r="Y173" s="129"/>
      <c r="Z173" s="129"/>
      <c r="AA173" s="129"/>
      <c r="AB173" s="129"/>
      <c r="AC173" s="107"/>
      <c r="AD173" s="107"/>
      <c r="AE173" s="107"/>
      <c r="AF173" s="129"/>
    </row>
    <row r="174" spans="2:32" x14ac:dyDescent="0.25">
      <c r="B174" s="3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28"/>
      <c r="R174" s="107"/>
      <c r="S174" s="107"/>
      <c r="T174" s="107"/>
      <c r="U174" s="107"/>
      <c r="V174" s="107"/>
      <c r="W174" s="107"/>
      <c r="X174" s="129"/>
      <c r="Y174" s="129"/>
      <c r="Z174" s="129"/>
      <c r="AA174" s="129"/>
      <c r="AB174" s="129"/>
      <c r="AC174" s="107"/>
      <c r="AD174" s="107"/>
      <c r="AE174" s="107"/>
      <c r="AF174" s="129"/>
    </row>
    <row r="175" spans="2:32" x14ac:dyDescent="0.25">
      <c r="B175" s="3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28"/>
      <c r="R175" s="107"/>
      <c r="S175" s="107"/>
      <c r="T175" s="107"/>
      <c r="U175" s="107"/>
      <c r="V175" s="107"/>
      <c r="W175" s="107"/>
      <c r="X175" s="129"/>
      <c r="Y175" s="129"/>
      <c r="Z175" s="129"/>
      <c r="AA175" s="129"/>
      <c r="AB175" s="129"/>
      <c r="AC175" s="107"/>
      <c r="AD175" s="107"/>
      <c r="AE175" s="107"/>
      <c r="AF175" s="129"/>
    </row>
    <row r="176" spans="2:32" x14ac:dyDescent="0.25">
      <c r="B176" s="3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28"/>
      <c r="R176" s="107"/>
      <c r="S176" s="107"/>
      <c r="T176" s="107"/>
      <c r="U176" s="107"/>
      <c r="V176" s="107"/>
      <c r="W176" s="107"/>
      <c r="X176" s="129"/>
      <c r="Y176" s="129"/>
      <c r="Z176" s="129"/>
      <c r="AA176" s="129"/>
      <c r="AB176" s="129"/>
      <c r="AC176" s="107"/>
      <c r="AD176" s="107"/>
      <c r="AE176" s="107"/>
      <c r="AF176" s="129"/>
    </row>
    <row r="177" spans="2:32" x14ac:dyDescent="0.25">
      <c r="B177" s="3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28"/>
      <c r="R177" s="107"/>
      <c r="S177" s="107"/>
      <c r="T177" s="107"/>
      <c r="U177" s="107"/>
      <c r="V177" s="107"/>
      <c r="W177" s="107"/>
      <c r="X177" s="129"/>
      <c r="Y177" s="129"/>
      <c r="Z177" s="129"/>
      <c r="AA177" s="129"/>
      <c r="AB177" s="129"/>
      <c r="AC177" s="107"/>
      <c r="AD177" s="107"/>
      <c r="AE177" s="107"/>
      <c r="AF177" s="129"/>
    </row>
    <row r="178" spans="2:32" x14ac:dyDescent="0.25">
      <c r="B178" s="3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28"/>
      <c r="R178" s="107"/>
      <c r="S178" s="107"/>
      <c r="T178" s="107"/>
      <c r="U178" s="107"/>
      <c r="V178" s="107"/>
      <c r="W178" s="107"/>
      <c r="X178" s="129"/>
      <c r="Y178" s="129"/>
      <c r="Z178" s="129"/>
      <c r="AA178" s="129"/>
      <c r="AB178" s="129"/>
      <c r="AC178" s="107"/>
      <c r="AD178" s="107"/>
      <c r="AE178" s="107"/>
      <c r="AF178" s="129"/>
    </row>
    <row r="179" spans="2:32" x14ac:dyDescent="0.25">
      <c r="B179" s="3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28"/>
      <c r="R179" s="107"/>
      <c r="S179" s="107"/>
      <c r="T179" s="107"/>
      <c r="U179" s="107"/>
      <c r="V179" s="107"/>
      <c r="W179" s="107"/>
      <c r="X179" s="129"/>
      <c r="Y179" s="129"/>
      <c r="Z179" s="129"/>
      <c r="AA179" s="129"/>
      <c r="AB179" s="129"/>
      <c r="AC179" s="107"/>
      <c r="AD179" s="107"/>
      <c r="AE179" s="107"/>
      <c r="AF179" s="129"/>
    </row>
    <row r="180" spans="2:32" x14ac:dyDescent="0.25">
      <c r="B180" s="3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28"/>
      <c r="R180" s="107"/>
      <c r="S180" s="107"/>
      <c r="T180" s="107"/>
      <c r="U180" s="107"/>
      <c r="V180" s="107"/>
      <c r="W180" s="107"/>
      <c r="X180" s="129"/>
      <c r="Y180" s="129"/>
      <c r="Z180" s="129"/>
      <c r="AA180" s="129"/>
      <c r="AB180" s="129"/>
      <c r="AC180" s="107"/>
      <c r="AD180" s="107"/>
      <c r="AE180" s="107"/>
      <c r="AF180" s="129"/>
    </row>
    <row r="181" spans="2:32" x14ac:dyDescent="0.25">
      <c r="B181" s="3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28"/>
      <c r="R181" s="107"/>
      <c r="S181" s="107"/>
      <c r="T181" s="107"/>
      <c r="U181" s="107"/>
      <c r="V181" s="107"/>
      <c r="W181" s="107"/>
      <c r="X181" s="129"/>
      <c r="Y181" s="129"/>
      <c r="Z181" s="129"/>
      <c r="AA181" s="129"/>
      <c r="AB181" s="129"/>
      <c r="AC181" s="107"/>
      <c r="AD181" s="107"/>
      <c r="AE181" s="107"/>
      <c r="AF181" s="129"/>
    </row>
    <row r="182" spans="2:32" x14ac:dyDescent="0.25">
      <c r="B182" s="3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28"/>
      <c r="R182" s="107"/>
      <c r="S182" s="107"/>
      <c r="T182" s="107"/>
      <c r="U182" s="107"/>
      <c r="V182" s="107"/>
      <c r="W182" s="107"/>
      <c r="X182" s="129"/>
      <c r="Y182" s="129"/>
      <c r="Z182" s="129"/>
      <c r="AA182" s="129"/>
      <c r="AB182" s="129"/>
      <c r="AC182" s="107"/>
      <c r="AD182" s="107"/>
      <c r="AE182" s="107"/>
      <c r="AF182" s="129"/>
    </row>
    <row r="183" spans="2:32" x14ac:dyDescent="0.25">
      <c r="B183" s="3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28"/>
      <c r="R183" s="107"/>
      <c r="S183" s="107"/>
      <c r="T183" s="107"/>
      <c r="U183" s="107"/>
      <c r="V183" s="107"/>
      <c r="W183" s="107"/>
      <c r="X183" s="129"/>
      <c r="Y183" s="129"/>
      <c r="Z183" s="129"/>
      <c r="AA183" s="129"/>
      <c r="AB183" s="129"/>
      <c r="AC183" s="107"/>
      <c r="AD183" s="107"/>
      <c r="AE183" s="107"/>
      <c r="AF183" s="129"/>
    </row>
    <row r="184" spans="2:32" x14ac:dyDescent="0.25">
      <c r="B184" s="3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28"/>
      <c r="R184" s="107"/>
      <c r="S184" s="107"/>
      <c r="T184" s="107"/>
      <c r="U184" s="107"/>
      <c r="V184" s="107"/>
      <c r="W184" s="107"/>
      <c r="X184" s="129"/>
      <c r="Y184" s="129"/>
      <c r="Z184" s="129"/>
      <c r="AA184" s="129"/>
      <c r="AB184" s="129"/>
      <c r="AC184" s="107"/>
      <c r="AD184" s="107"/>
      <c r="AE184" s="107"/>
      <c r="AF184" s="129"/>
    </row>
    <row r="185" spans="2:32" x14ac:dyDescent="0.25">
      <c r="B185" s="3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28"/>
      <c r="R185" s="107"/>
      <c r="S185" s="107"/>
      <c r="T185" s="107"/>
      <c r="U185" s="107"/>
      <c r="V185" s="107"/>
      <c r="W185" s="107"/>
      <c r="X185" s="129"/>
      <c r="Y185" s="129"/>
      <c r="Z185" s="129"/>
      <c r="AA185" s="129"/>
      <c r="AB185" s="129"/>
      <c r="AC185" s="107"/>
      <c r="AD185" s="107"/>
      <c r="AE185" s="107"/>
      <c r="AF185" s="129"/>
    </row>
    <row r="186" spans="2:32" x14ac:dyDescent="0.25">
      <c r="B186" s="3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28"/>
      <c r="R186" s="107"/>
      <c r="S186" s="107"/>
      <c r="T186" s="107"/>
      <c r="U186" s="107"/>
      <c r="V186" s="107"/>
      <c r="W186" s="107"/>
      <c r="X186" s="129"/>
      <c r="Y186" s="129"/>
      <c r="Z186" s="129"/>
      <c r="AA186" s="129"/>
      <c r="AB186" s="129"/>
      <c r="AC186" s="107"/>
      <c r="AD186" s="107"/>
      <c r="AE186" s="107"/>
      <c r="AF186" s="129"/>
    </row>
    <row r="187" spans="2:32" x14ac:dyDescent="0.25">
      <c r="B187" s="3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28"/>
      <c r="R187" s="107"/>
      <c r="S187" s="107"/>
      <c r="T187" s="107"/>
      <c r="U187" s="107"/>
      <c r="V187" s="107"/>
      <c r="W187" s="107"/>
      <c r="X187" s="129"/>
      <c r="Y187" s="129"/>
      <c r="Z187" s="129"/>
      <c r="AA187" s="129"/>
      <c r="AB187" s="129"/>
      <c r="AC187" s="107"/>
      <c r="AD187" s="107"/>
      <c r="AE187" s="107"/>
      <c r="AF187" s="129"/>
    </row>
    <row r="188" spans="2:32" x14ac:dyDescent="0.25">
      <c r="B188" s="3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28"/>
      <c r="R188" s="107"/>
      <c r="S188" s="107"/>
      <c r="T188" s="107"/>
      <c r="U188" s="107"/>
      <c r="V188" s="107"/>
      <c r="W188" s="107"/>
      <c r="X188" s="129"/>
      <c r="Y188" s="129"/>
      <c r="Z188" s="129"/>
      <c r="AA188" s="129"/>
      <c r="AB188" s="129"/>
      <c r="AC188" s="107"/>
      <c r="AD188" s="107"/>
      <c r="AE188" s="107"/>
      <c r="AF188" s="129"/>
    </row>
    <row r="189" spans="2:32" x14ac:dyDescent="0.25">
      <c r="B189" s="3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28"/>
      <c r="R189" s="107"/>
      <c r="S189" s="107"/>
      <c r="T189" s="107"/>
      <c r="U189" s="107"/>
      <c r="V189" s="107"/>
      <c r="W189" s="107"/>
      <c r="X189" s="129"/>
      <c r="Y189" s="129"/>
      <c r="Z189" s="129"/>
      <c r="AA189" s="129"/>
      <c r="AB189" s="129"/>
      <c r="AC189" s="107"/>
      <c r="AD189" s="107"/>
      <c r="AE189" s="107"/>
      <c r="AF189" s="129"/>
    </row>
    <row r="190" spans="2:32" x14ac:dyDescent="0.25">
      <c r="B190" s="3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28"/>
      <c r="R190" s="107"/>
      <c r="S190" s="107"/>
      <c r="T190" s="107"/>
      <c r="U190" s="107"/>
      <c r="V190" s="107"/>
      <c r="W190" s="107"/>
      <c r="X190" s="129"/>
      <c r="Y190" s="129"/>
      <c r="Z190" s="129"/>
      <c r="AA190" s="129"/>
      <c r="AB190" s="129"/>
      <c r="AC190" s="107"/>
      <c r="AD190" s="107"/>
      <c r="AE190" s="107"/>
      <c r="AF190" s="129"/>
    </row>
    <row r="191" spans="2:32" x14ac:dyDescent="0.25">
      <c r="B191" s="3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28"/>
      <c r="R191" s="107"/>
      <c r="S191" s="107"/>
      <c r="T191" s="107"/>
      <c r="U191" s="107"/>
      <c r="V191" s="107"/>
      <c r="W191" s="107"/>
      <c r="X191" s="129"/>
      <c r="Y191" s="129"/>
      <c r="Z191" s="129"/>
      <c r="AA191" s="129"/>
      <c r="AB191" s="129"/>
      <c r="AC191" s="107"/>
      <c r="AD191" s="107"/>
      <c r="AE191" s="107"/>
      <c r="AF191" s="129"/>
    </row>
    <row r="192" spans="2:32" x14ac:dyDescent="0.25">
      <c r="B192" s="3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28"/>
      <c r="R192" s="107"/>
      <c r="S192" s="107"/>
      <c r="T192" s="107"/>
      <c r="U192" s="107"/>
      <c r="V192" s="107"/>
      <c r="W192" s="107"/>
      <c r="X192" s="129"/>
      <c r="Y192" s="129"/>
      <c r="Z192" s="129"/>
      <c r="AA192" s="129"/>
      <c r="AB192" s="129"/>
      <c r="AC192" s="107"/>
      <c r="AD192" s="107"/>
      <c r="AE192" s="107"/>
      <c r="AF192" s="129"/>
    </row>
    <row r="193" spans="2:35" x14ac:dyDescent="0.25">
      <c r="B193" s="3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28"/>
      <c r="R193" s="107"/>
      <c r="S193" s="107"/>
      <c r="T193" s="107"/>
      <c r="U193" s="107"/>
      <c r="V193" s="107"/>
      <c r="W193" s="107"/>
      <c r="X193" s="129"/>
      <c r="Y193" s="129"/>
      <c r="Z193" s="129"/>
      <c r="AA193" s="129"/>
      <c r="AB193" s="129"/>
      <c r="AC193" s="107"/>
      <c r="AD193" s="107"/>
      <c r="AE193" s="107"/>
      <c r="AF193" s="129"/>
    </row>
    <row r="194" spans="2:35" x14ac:dyDescent="0.25">
      <c r="B194" s="3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28"/>
      <c r="R194" s="107"/>
      <c r="S194" s="107"/>
      <c r="T194" s="107"/>
      <c r="U194" s="107"/>
      <c r="V194" s="107"/>
      <c r="W194" s="107"/>
      <c r="X194" s="129"/>
      <c r="Y194" s="129"/>
      <c r="Z194" s="129"/>
      <c r="AA194" s="129"/>
      <c r="AB194" s="129"/>
      <c r="AC194" s="107"/>
      <c r="AD194" s="107"/>
      <c r="AE194" s="107"/>
      <c r="AF194" s="129"/>
    </row>
    <row r="195" spans="2:35" x14ac:dyDescent="0.25">
      <c r="B195" s="3" t="s">
        <v>114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/>
      <c r="Q195" s="109"/>
      <c r="R195" s="115"/>
      <c r="S195" s="115"/>
      <c r="T195" s="115"/>
      <c r="U195" s="115"/>
      <c r="V195" s="115"/>
      <c r="W195" s="115"/>
      <c r="X195" s="122"/>
      <c r="Y195" s="122"/>
      <c r="Z195" s="122"/>
      <c r="AA195" s="122"/>
      <c r="AB195" s="122"/>
      <c r="AC195" s="121"/>
      <c r="AD195" s="121"/>
      <c r="AE195" s="121"/>
      <c r="AF195" s="83"/>
    </row>
    <row r="196" spans="2:35" x14ac:dyDescent="0.25">
      <c r="B196" s="3" t="s">
        <v>200</v>
      </c>
      <c r="C196" s="5">
        <f>250</f>
        <v>250</v>
      </c>
      <c r="D196" s="2"/>
      <c r="E196" s="2"/>
      <c r="F196" s="2"/>
      <c r="G196" s="2"/>
      <c r="H196" s="2"/>
      <c r="I196" s="2"/>
      <c r="J196" s="2"/>
      <c r="K196" s="5">
        <f t="shared" ref="K196" si="49">(((G196)+(H196))+(I196))+(J196)</f>
        <v>0</v>
      </c>
      <c r="L196" s="5">
        <f t="shared" ref="L196" si="50">((((C196)+(D196))+(E196))+(F196))+(K196)</f>
        <v>250</v>
      </c>
      <c r="M196" s="167"/>
      <c r="N196" s="167">
        <v>3000</v>
      </c>
      <c r="O196" s="167"/>
      <c r="P196" s="167">
        <f>SUM(N196:O196)</f>
        <v>3000</v>
      </c>
      <c r="Q196" s="168">
        <f>+P196+C196</f>
        <v>3250</v>
      </c>
      <c r="R196" s="115"/>
      <c r="S196" s="115"/>
      <c r="T196" s="115"/>
      <c r="U196" s="121">
        <f t="shared" ref="U196:U213" si="51">SUM(S196:T196)</f>
        <v>0</v>
      </c>
      <c r="V196" s="121">
        <f>+U196+K196</f>
        <v>0</v>
      </c>
      <c r="W196" s="121"/>
      <c r="X196" s="122">
        <f t="shared" ref="X196:X213" si="52">+V196+Q196</f>
        <v>3250</v>
      </c>
      <c r="Y196" s="122">
        <v>3000</v>
      </c>
      <c r="Z196" s="122"/>
      <c r="AA196" s="122">
        <f>+Y196+Z196</f>
        <v>3000</v>
      </c>
      <c r="AB196" s="122">
        <f>+AA196-X196</f>
        <v>-250</v>
      </c>
      <c r="AC196" s="121"/>
      <c r="AD196" s="121">
        <v>2500</v>
      </c>
      <c r="AE196" s="121">
        <f>5000-2500</f>
        <v>2500</v>
      </c>
      <c r="AF196" s="83">
        <f>+AD196+AE196</f>
        <v>5000</v>
      </c>
    </row>
    <row r="197" spans="2:35" x14ac:dyDescent="0.25">
      <c r="B197" s="101" t="s">
        <v>210</v>
      </c>
      <c r="C197" s="5"/>
      <c r="D197" s="2"/>
      <c r="E197" s="2"/>
      <c r="F197" s="2"/>
      <c r="G197" s="2"/>
      <c r="H197" s="2"/>
      <c r="I197" s="2"/>
      <c r="J197" s="2"/>
      <c r="K197" s="5"/>
      <c r="L197" s="5"/>
      <c r="M197" s="167"/>
      <c r="N197" s="167"/>
      <c r="O197" s="167">
        <f>9000</f>
        <v>9000</v>
      </c>
      <c r="P197" s="167">
        <f t="shared" ref="P197:P213" si="53">SUM(N197:O197)</f>
        <v>9000</v>
      </c>
      <c r="Q197" s="168">
        <f t="shared" ref="Q197:Q213" si="54">+P197+C197</f>
        <v>9000</v>
      </c>
      <c r="R197" s="121"/>
      <c r="S197" s="121"/>
      <c r="T197" s="121"/>
      <c r="U197" s="121">
        <f t="shared" si="51"/>
        <v>0</v>
      </c>
      <c r="V197" s="121">
        <f t="shared" ref="V197:V213" si="55">+U197+K197</f>
        <v>0</v>
      </c>
      <c r="W197" s="121"/>
      <c r="X197" s="122">
        <f t="shared" si="52"/>
        <v>9000</v>
      </c>
      <c r="Y197" s="122"/>
      <c r="Z197" s="122">
        <v>18000</v>
      </c>
      <c r="AA197" s="122">
        <f t="shared" ref="AA197:AA213" si="56">+Y197+Z197</f>
        <v>18000</v>
      </c>
      <c r="AB197" s="122">
        <f t="shared" ref="AB197:AB213" si="57">+AA197-X197</f>
        <v>9000</v>
      </c>
      <c r="AC197" s="121"/>
      <c r="AD197" s="121"/>
      <c r="AE197" s="121">
        <v>12000</v>
      </c>
      <c r="AF197" s="83">
        <f t="shared" ref="AF197:AF213" si="58">+AD197+AE197</f>
        <v>12000</v>
      </c>
    </row>
    <row r="198" spans="2:35" x14ac:dyDescent="0.25">
      <c r="B198" s="3" t="s">
        <v>250</v>
      </c>
      <c r="C198" s="5"/>
      <c r="D198" s="2"/>
      <c r="E198" s="2"/>
      <c r="F198" s="2"/>
      <c r="G198" s="2"/>
      <c r="H198" s="2"/>
      <c r="I198" s="2"/>
      <c r="J198" s="2"/>
      <c r="K198" s="5"/>
      <c r="L198" s="5"/>
      <c r="M198" s="167"/>
      <c r="N198" s="167"/>
      <c r="O198" s="167"/>
      <c r="P198" s="167">
        <f t="shared" si="53"/>
        <v>0</v>
      </c>
      <c r="Q198" s="168"/>
      <c r="R198" s="121"/>
      <c r="S198" s="121"/>
      <c r="T198" s="121"/>
      <c r="U198" s="121">
        <f t="shared" si="51"/>
        <v>0</v>
      </c>
      <c r="V198" s="121"/>
      <c r="W198" s="121"/>
      <c r="X198" s="122"/>
      <c r="Y198" s="122"/>
      <c r="Z198" s="122"/>
      <c r="AA198" s="122"/>
      <c r="AB198" s="122"/>
      <c r="AC198" s="121"/>
      <c r="AD198" s="121"/>
      <c r="AE198" s="121">
        <v>10000</v>
      </c>
      <c r="AF198" s="83">
        <f t="shared" si="58"/>
        <v>10000</v>
      </c>
    </row>
    <row r="199" spans="2:35" x14ac:dyDescent="0.25">
      <c r="B199" s="3" t="s">
        <v>113</v>
      </c>
      <c r="C199" s="2"/>
      <c r="D199" s="2"/>
      <c r="E199" s="2"/>
      <c r="F199" s="2"/>
      <c r="G199" s="2"/>
      <c r="H199" s="2"/>
      <c r="I199" s="5">
        <f>572.02</f>
        <v>572.02</v>
      </c>
      <c r="J199" s="2"/>
      <c r="K199" s="5">
        <f t="shared" ref="K199:K201" si="59">(((G199)+(H199))+(I199))+(J199)</f>
        <v>572.02</v>
      </c>
      <c r="L199" s="5">
        <f t="shared" ref="L199:L201" si="60">((((C199)+(D199))+(E199))+(F199))+(K199)</f>
        <v>572.02</v>
      </c>
      <c r="M199" s="167"/>
      <c r="N199" s="167"/>
      <c r="O199" s="167"/>
      <c r="P199" s="167">
        <f t="shared" si="53"/>
        <v>0</v>
      </c>
      <c r="Q199" s="168">
        <f t="shared" si="54"/>
        <v>0</v>
      </c>
      <c r="R199" s="121"/>
      <c r="S199" s="121"/>
      <c r="T199" s="121"/>
      <c r="U199" s="121">
        <f t="shared" si="51"/>
        <v>0</v>
      </c>
      <c r="V199" s="121">
        <f t="shared" si="55"/>
        <v>572.02</v>
      </c>
      <c r="W199" s="121"/>
      <c r="X199" s="122">
        <f t="shared" si="52"/>
        <v>572.02</v>
      </c>
      <c r="Y199" s="122">
        <v>50</v>
      </c>
      <c r="Z199" s="122"/>
      <c r="AA199" s="122">
        <f t="shared" si="56"/>
        <v>50</v>
      </c>
      <c r="AB199" s="122">
        <f t="shared" si="57"/>
        <v>-522.02</v>
      </c>
      <c r="AC199" s="121"/>
      <c r="AD199" s="121">
        <v>100</v>
      </c>
      <c r="AE199" s="121"/>
      <c r="AF199" s="83">
        <f t="shared" si="58"/>
        <v>100</v>
      </c>
    </row>
    <row r="200" spans="2:35" x14ac:dyDescent="0.25">
      <c r="B200" s="3" t="s">
        <v>112</v>
      </c>
      <c r="C200" s="2"/>
      <c r="D200" s="2"/>
      <c r="E200" s="2"/>
      <c r="F200" s="2"/>
      <c r="G200" s="2"/>
      <c r="H200" s="2"/>
      <c r="I200" s="5">
        <f>1000</f>
        <v>1000</v>
      </c>
      <c r="J200" s="2"/>
      <c r="K200" s="5">
        <f t="shared" si="59"/>
        <v>1000</v>
      </c>
      <c r="L200" s="5">
        <f t="shared" si="60"/>
        <v>1000</v>
      </c>
      <c r="M200" s="167">
        <v>20</v>
      </c>
      <c r="N200" s="167">
        <v>20</v>
      </c>
      <c r="O200" s="167">
        <v>20</v>
      </c>
      <c r="P200" s="167">
        <f t="shared" si="53"/>
        <v>40</v>
      </c>
      <c r="Q200" s="168">
        <f t="shared" si="54"/>
        <v>40</v>
      </c>
      <c r="R200" s="121">
        <v>80</v>
      </c>
      <c r="S200" s="121">
        <v>80</v>
      </c>
      <c r="T200" s="121">
        <v>80</v>
      </c>
      <c r="U200" s="121">
        <f t="shared" si="51"/>
        <v>160</v>
      </c>
      <c r="V200" s="121">
        <f t="shared" si="55"/>
        <v>1160</v>
      </c>
      <c r="W200" s="121"/>
      <c r="X200" s="122">
        <f t="shared" si="52"/>
        <v>1200</v>
      </c>
      <c r="Y200" s="122">
        <v>1200</v>
      </c>
      <c r="Z200" s="122"/>
      <c r="AA200" s="122">
        <f t="shared" si="56"/>
        <v>1200</v>
      </c>
      <c r="AB200" s="122">
        <f t="shared" si="57"/>
        <v>0</v>
      </c>
      <c r="AC200" s="121"/>
      <c r="AD200" s="121">
        <v>1200</v>
      </c>
      <c r="AE200" s="121"/>
      <c r="AF200" s="83">
        <f t="shared" si="58"/>
        <v>1200</v>
      </c>
      <c r="AI200" s="85"/>
    </row>
    <row r="201" spans="2:35" x14ac:dyDescent="0.25">
      <c r="B201" s="3" t="s">
        <v>111</v>
      </c>
      <c r="C201" s="5">
        <f>183.29</f>
        <v>183.29</v>
      </c>
      <c r="D201" s="2"/>
      <c r="E201" s="2"/>
      <c r="F201" s="2"/>
      <c r="G201" s="2"/>
      <c r="H201" s="2"/>
      <c r="I201" s="2"/>
      <c r="J201" s="2"/>
      <c r="K201" s="5">
        <f t="shared" si="59"/>
        <v>0</v>
      </c>
      <c r="L201" s="5">
        <f t="shared" si="60"/>
        <v>183.29</v>
      </c>
      <c r="M201" s="167"/>
      <c r="N201" s="167">
        <v>600</v>
      </c>
      <c r="O201" s="167"/>
      <c r="P201" s="167">
        <f t="shared" si="53"/>
        <v>600</v>
      </c>
      <c r="Q201" s="168">
        <f t="shared" si="54"/>
        <v>783.29</v>
      </c>
      <c r="R201" s="121"/>
      <c r="S201" s="121"/>
      <c r="T201" s="121"/>
      <c r="U201" s="121">
        <f t="shared" si="51"/>
        <v>0</v>
      </c>
      <c r="V201" s="121">
        <f t="shared" si="55"/>
        <v>0</v>
      </c>
      <c r="W201" s="121"/>
      <c r="X201" s="122">
        <f t="shared" si="52"/>
        <v>783.29</v>
      </c>
      <c r="Y201" s="122">
        <v>1000</v>
      </c>
      <c r="Z201" s="122"/>
      <c r="AA201" s="122">
        <f t="shared" si="56"/>
        <v>1000</v>
      </c>
      <c r="AB201" s="122">
        <f t="shared" si="57"/>
        <v>216.71000000000004</v>
      </c>
      <c r="AC201" s="121"/>
      <c r="AD201" s="121">
        <f>1000</f>
        <v>1000</v>
      </c>
      <c r="AE201" s="121">
        <v>5175</v>
      </c>
      <c r="AF201" s="83">
        <f t="shared" si="58"/>
        <v>6175</v>
      </c>
    </row>
    <row r="202" spans="2:35" x14ac:dyDescent="0.25">
      <c r="B202" s="3" t="s">
        <v>204</v>
      </c>
      <c r="C202" s="5"/>
      <c r="D202" s="2"/>
      <c r="E202" s="2"/>
      <c r="F202" s="2"/>
      <c r="G202" s="2"/>
      <c r="H202" s="2"/>
      <c r="I202" s="2"/>
      <c r="J202" s="2"/>
      <c r="K202" s="5"/>
      <c r="L202" s="5"/>
      <c r="M202" s="167"/>
      <c r="N202" s="167"/>
      <c r="O202" s="167"/>
      <c r="P202" s="167">
        <f t="shared" si="53"/>
        <v>0</v>
      </c>
      <c r="Q202" s="168"/>
      <c r="R202" s="121"/>
      <c r="S202" s="121"/>
      <c r="T202" s="121"/>
      <c r="U202" s="121">
        <f t="shared" si="51"/>
        <v>0</v>
      </c>
      <c r="V202" s="121"/>
      <c r="W202" s="121"/>
      <c r="X202" s="122"/>
      <c r="Y202" s="122">
        <v>500</v>
      </c>
      <c r="Z202" s="122"/>
      <c r="AA202" s="122">
        <f t="shared" si="56"/>
        <v>500</v>
      </c>
      <c r="AB202" s="122">
        <f t="shared" si="57"/>
        <v>500</v>
      </c>
      <c r="AC202" s="121"/>
      <c r="AD202" s="121"/>
      <c r="AE202" s="121"/>
      <c r="AF202" s="83">
        <f t="shared" si="58"/>
        <v>0</v>
      </c>
    </row>
    <row r="203" spans="2:35" x14ac:dyDescent="0.25">
      <c r="B203" s="3" t="s">
        <v>110</v>
      </c>
      <c r="C203" s="2"/>
      <c r="D203" s="2"/>
      <c r="E203" s="2"/>
      <c r="F203" s="2"/>
      <c r="G203" s="2"/>
      <c r="H203" s="2"/>
      <c r="I203" s="5">
        <f>818.63</f>
        <v>818.63</v>
      </c>
      <c r="J203" s="2"/>
      <c r="K203" s="5">
        <f t="shared" ref="K203:K205" si="61">(((G203)+(H203))+(I203))+(J203)</f>
        <v>818.63</v>
      </c>
      <c r="L203" s="5">
        <f t="shared" ref="L203:L205" si="62">((((C203)+(D203))+(E203))+(F203))+(K203)</f>
        <v>818.63</v>
      </c>
      <c r="M203" s="167"/>
      <c r="N203" s="167"/>
      <c r="O203" s="167"/>
      <c r="P203" s="167">
        <f t="shared" si="53"/>
        <v>0</v>
      </c>
      <c r="Q203" s="168">
        <f t="shared" si="54"/>
        <v>0</v>
      </c>
      <c r="R203" s="121"/>
      <c r="S203" s="121"/>
      <c r="T203" s="121"/>
      <c r="U203" s="121">
        <f t="shared" si="51"/>
        <v>0</v>
      </c>
      <c r="V203" s="121">
        <f t="shared" si="55"/>
        <v>818.63</v>
      </c>
      <c r="W203" s="121"/>
      <c r="X203" s="122">
        <f t="shared" si="52"/>
        <v>818.63</v>
      </c>
      <c r="Y203" s="122"/>
      <c r="Z203" s="122"/>
      <c r="AA203" s="122">
        <f t="shared" si="56"/>
        <v>0</v>
      </c>
      <c r="AB203" s="122">
        <f t="shared" si="57"/>
        <v>-818.63</v>
      </c>
      <c r="AC203" s="121"/>
      <c r="AD203" s="121"/>
      <c r="AE203" s="121"/>
      <c r="AF203" s="83">
        <f t="shared" si="58"/>
        <v>0</v>
      </c>
    </row>
    <row r="204" spans="2:35" x14ac:dyDescent="0.25">
      <c r="B204" s="3" t="s">
        <v>109</v>
      </c>
      <c r="C204" s="5">
        <f>576.75</f>
        <v>576.75</v>
      </c>
      <c r="D204" s="2"/>
      <c r="E204" s="2"/>
      <c r="F204" s="2"/>
      <c r="G204" s="2"/>
      <c r="H204" s="5">
        <f>250</f>
        <v>250</v>
      </c>
      <c r="I204" s="2"/>
      <c r="J204" s="2"/>
      <c r="K204" s="5">
        <f t="shared" si="61"/>
        <v>250</v>
      </c>
      <c r="L204" s="5">
        <f t="shared" si="62"/>
        <v>826.75</v>
      </c>
      <c r="M204" s="167"/>
      <c r="N204" s="167">
        <v>350</v>
      </c>
      <c r="O204" s="167"/>
      <c r="P204" s="167">
        <f t="shared" si="53"/>
        <v>350</v>
      </c>
      <c r="Q204" s="168">
        <f t="shared" si="54"/>
        <v>926.75</v>
      </c>
      <c r="R204" s="121"/>
      <c r="S204" s="121"/>
      <c r="T204" s="121"/>
      <c r="U204" s="121">
        <f t="shared" si="51"/>
        <v>0</v>
      </c>
      <c r="V204" s="121">
        <f t="shared" si="55"/>
        <v>250</v>
      </c>
      <c r="W204" s="121"/>
      <c r="X204" s="122">
        <f t="shared" si="52"/>
        <v>1176.75</v>
      </c>
      <c r="Y204" s="122">
        <v>6500</v>
      </c>
      <c r="Z204" s="122"/>
      <c r="AA204" s="122">
        <f t="shared" si="56"/>
        <v>6500</v>
      </c>
      <c r="AB204" s="122">
        <f t="shared" si="57"/>
        <v>5323.25</v>
      </c>
      <c r="AC204" s="121"/>
      <c r="AD204" s="121">
        <v>3750</v>
      </c>
      <c r="AE204" s="121">
        <v>1250</v>
      </c>
      <c r="AF204" s="83">
        <f t="shared" si="58"/>
        <v>5000</v>
      </c>
    </row>
    <row r="205" spans="2:35" x14ac:dyDescent="0.25">
      <c r="B205" s="3" t="s">
        <v>265</v>
      </c>
      <c r="C205" s="5">
        <f>12000</f>
        <v>12000</v>
      </c>
      <c r="D205" s="2"/>
      <c r="E205" s="2"/>
      <c r="F205" s="2"/>
      <c r="G205" s="2"/>
      <c r="H205" s="2"/>
      <c r="I205" s="2"/>
      <c r="J205" s="5">
        <f>18000</f>
        <v>18000</v>
      </c>
      <c r="K205" s="5">
        <f t="shared" si="61"/>
        <v>18000</v>
      </c>
      <c r="L205" s="5">
        <f t="shared" si="62"/>
        <v>30000</v>
      </c>
      <c r="M205" s="167">
        <v>1501.2</v>
      </c>
      <c r="N205" s="167"/>
      <c r="O205" s="167"/>
      <c r="P205" s="167">
        <f t="shared" si="53"/>
        <v>0</v>
      </c>
      <c r="Q205" s="168">
        <f t="shared" si="54"/>
        <v>12000</v>
      </c>
      <c r="R205" s="121">
        <v>6004.8</v>
      </c>
      <c r="S205" s="121"/>
      <c r="T205" s="121"/>
      <c r="U205" s="121">
        <f t="shared" si="51"/>
        <v>0</v>
      </c>
      <c r="V205" s="121">
        <f t="shared" si="55"/>
        <v>18000</v>
      </c>
      <c r="W205" s="121"/>
      <c r="X205" s="122">
        <f t="shared" si="52"/>
        <v>30000</v>
      </c>
      <c r="Y205" s="122">
        <v>33000</v>
      </c>
      <c r="Z205" s="122"/>
      <c r="AA205" s="122">
        <f t="shared" si="56"/>
        <v>33000</v>
      </c>
      <c r="AB205" s="122">
        <f t="shared" si="57"/>
        <v>3000</v>
      </c>
      <c r="AC205" s="121"/>
      <c r="AD205" s="121" t="e">
        <f>+#REF!+#REF!</f>
        <v>#REF!</v>
      </c>
      <c r="AE205" s="121"/>
      <c r="AF205" s="83" t="e">
        <f t="shared" si="58"/>
        <v>#REF!</v>
      </c>
    </row>
    <row r="206" spans="2:35" x14ac:dyDescent="0.25">
      <c r="B206" s="101" t="s">
        <v>107</v>
      </c>
      <c r="C206" s="5"/>
      <c r="D206" s="2"/>
      <c r="E206" s="2"/>
      <c r="F206" s="2"/>
      <c r="G206" s="2"/>
      <c r="H206" s="2"/>
      <c r="I206" s="2"/>
      <c r="J206" s="5"/>
      <c r="K206" s="5"/>
      <c r="L206" s="5"/>
      <c r="M206" s="167"/>
      <c r="N206" s="167">
        <v>786.24</v>
      </c>
      <c r="O206" s="167"/>
      <c r="P206" s="167">
        <f t="shared" si="53"/>
        <v>786.24</v>
      </c>
      <c r="Q206" s="168">
        <f t="shared" si="54"/>
        <v>786.24</v>
      </c>
      <c r="R206" s="121"/>
      <c r="S206" s="121"/>
      <c r="T206" s="121"/>
      <c r="U206" s="121">
        <f t="shared" si="51"/>
        <v>0</v>
      </c>
      <c r="V206" s="121">
        <f t="shared" si="55"/>
        <v>0</v>
      </c>
      <c r="W206" s="121"/>
      <c r="X206" s="122">
        <f t="shared" si="52"/>
        <v>786.24</v>
      </c>
      <c r="Y206" s="122">
        <v>50</v>
      </c>
      <c r="Z206" s="122"/>
      <c r="AA206" s="122">
        <f t="shared" si="56"/>
        <v>50</v>
      </c>
      <c r="AB206" s="122">
        <f t="shared" si="57"/>
        <v>-736.24</v>
      </c>
      <c r="AC206" s="121"/>
      <c r="AD206" s="121">
        <v>50</v>
      </c>
      <c r="AE206" s="121"/>
      <c r="AF206" s="83">
        <f t="shared" si="58"/>
        <v>50</v>
      </c>
    </row>
    <row r="207" spans="2:35" x14ac:dyDescent="0.25">
      <c r="B207" s="3" t="s">
        <v>106</v>
      </c>
      <c r="C207" s="5">
        <f>1000</f>
        <v>1000</v>
      </c>
      <c r="D207" s="2"/>
      <c r="E207" s="2"/>
      <c r="F207" s="2"/>
      <c r="G207" s="2"/>
      <c r="H207" s="2"/>
      <c r="I207" s="2"/>
      <c r="J207" s="2"/>
      <c r="K207" s="5">
        <f t="shared" ref="K207" si="63">(((G207)+(H207))+(I207))+(J207)</f>
        <v>0</v>
      </c>
      <c r="L207" s="5">
        <f t="shared" ref="L207" si="64">((((C207)+(D207))+(E207))+(F207))+(K207)</f>
        <v>1000</v>
      </c>
      <c r="M207" s="167">
        <v>100</v>
      </c>
      <c r="N207" s="167">
        <v>100</v>
      </c>
      <c r="O207" s="167">
        <v>100</v>
      </c>
      <c r="P207" s="167">
        <f t="shared" si="53"/>
        <v>200</v>
      </c>
      <c r="Q207" s="168">
        <f t="shared" si="54"/>
        <v>1200</v>
      </c>
      <c r="R207" s="121"/>
      <c r="S207" s="121"/>
      <c r="T207" s="121"/>
      <c r="U207" s="121">
        <f t="shared" si="51"/>
        <v>0</v>
      </c>
      <c r="V207" s="121">
        <f t="shared" si="55"/>
        <v>0</v>
      </c>
      <c r="W207" s="121"/>
      <c r="X207" s="122">
        <f t="shared" si="52"/>
        <v>1200</v>
      </c>
      <c r="Y207" s="122">
        <v>3500</v>
      </c>
      <c r="Z207" s="122"/>
      <c r="AA207" s="122">
        <f t="shared" si="56"/>
        <v>3500</v>
      </c>
      <c r="AB207" s="122">
        <f t="shared" si="57"/>
        <v>2300</v>
      </c>
      <c r="AC207" s="121"/>
      <c r="AD207" s="121">
        <f>1000+1000</f>
        <v>2000</v>
      </c>
      <c r="AE207" s="121"/>
      <c r="AF207" s="83">
        <f t="shared" si="58"/>
        <v>2000</v>
      </c>
    </row>
    <row r="208" spans="2:35" x14ac:dyDescent="0.25">
      <c r="B208" s="3" t="s">
        <v>105</v>
      </c>
      <c r="C208" s="5"/>
      <c r="D208" s="2"/>
      <c r="E208" s="2"/>
      <c r="F208" s="2"/>
      <c r="G208" s="2"/>
      <c r="H208" s="2"/>
      <c r="I208" s="2"/>
      <c r="J208" s="2"/>
      <c r="K208" s="5"/>
      <c r="L208" s="5"/>
      <c r="M208" s="167"/>
      <c r="N208" s="167"/>
      <c r="O208" s="167"/>
      <c r="P208" s="167">
        <f t="shared" si="53"/>
        <v>0</v>
      </c>
      <c r="Q208" s="168"/>
      <c r="R208" s="121"/>
      <c r="S208" s="121"/>
      <c r="T208" s="121"/>
      <c r="U208" s="121">
        <f t="shared" si="51"/>
        <v>0</v>
      </c>
      <c r="V208" s="121"/>
      <c r="W208" s="121"/>
      <c r="X208" s="122"/>
      <c r="Y208" s="122">
        <v>550</v>
      </c>
      <c r="Z208" s="122"/>
      <c r="AA208" s="122">
        <f t="shared" si="56"/>
        <v>550</v>
      </c>
      <c r="AB208" s="122">
        <f t="shared" si="57"/>
        <v>550</v>
      </c>
      <c r="AC208" s="121"/>
      <c r="AD208" s="121">
        <v>500</v>
      </c>
      <c r="AE208" s="121"/>
      <c r="AF208" s="83">
        <f t="shared" si="58"/>
        <v>500</v>
      </c>
    </row>
    <row r="209" spans="2:35" x14ac:dyDescent="0.25">
      <c r="B209" s="3" t="s">
        <v>104</v>
      </c>
      <c r="C209" s="2"/>
      <c r="D209" s="2"/>
      <c r="E209" s="2"/>
      <c r="F209" s="2"/>
      <c r="G209" s="2"/>
      <c r="H209" s="2"/>
      <c r="I209" s="2"/>
      <c r="J209" s="2"/>
      <c r="K209" s="5">
        <f t="shared" ref="K209:K213" si="65">(((G209)+(H209))+(I209))+(J209)</f>
        <v>0</v>
      </c>
      <c r="L209" s="5">
        <f t="shared" ref="L209:L213" si="66">((((C209)+(D209))+(E209))+(F209))+(K209)</f>
        <v>0</v>
      </c>
      <c r="M209" s="167"/>
      <c r="N209" s="167"/>
      <c r="O209" s="167"/>
      <c r="P209" s="167">
        <f t="shared" si="53"/>
        <v>0</v>
      </c>
      <c r="Q209" s="168">
        <f t="shared" si="54"/>
        <v>0</v>
      </c>
      <c r="R209" s="121"/>
      <c r="S209" s="121"/>
      <c r="T209" s="121"/>
      <c r="U209" s="121">
        <f t="shared" si="51"/>
        <v>0</v>
      </c>
      <c r="V209" s="121">
        <f t="shared" si="55"/>
        <v>0</v>
      </c>
      <c r="W209" s="121"/>
      <c r="X209" s="122">
        <f t="shared" si="52"/>
        <v>0</v>
      </c>
      <c r="Y209" s="122"/>
      <c r="Z209" s="122"/>
      <c r="AA209" s="122">
        <f t="shared" si="56"/>
        <v>0</v>
      </c>
      <c r="AB209" s="122">
        <f t="shared" si="57"/>
        <v>0</v>
      </c>
      <c r="AC209" s="121"/>
      <c r="AD209" s="121"/>
      <c r="AE209" s="121"/>
      <c r="AF209" s="83">
        <f t="shared" si="58"/>
        <v>0</v>
      </c>
    </row>
    <row r="210" spans="2:35" x14ac:dyDescent="0.25">
      <c r="B210" s="3" t="s">
        <v>103</v>
      </c>
      <c r="C210" s="5">
        <f>2370</f>
        <v>2370</v>
      </c>
      <c r="D210" s="2"/>
      <c r="E210" s="2"/>
      <c r="F210" s="2"/>
      <c r="G210" s="2"/>
      <c r="H210" s="2"/>
      <c r="I210" s="2"/>
      <c r="J210" s="2"/>
      <c r="K210" s="5">
        <f t="shared" si="65"/>
        <v>0</v>
      </c>
      <c r="L210" s="5">
        <f t="shared" si="66"/>
        <v>2370</v>
      </c>
      <c r="M210" s="167"/>
      <c r="N210" s="167"/>
      <c r="O210" s="167"/>
      <c r="P210" s="167">
        <f t="shared" si="53"/>
        <v>0</v>
      </c>
      <c r="Q210" s="168">
        <f t="shared" si="54"/>
        <v>2370</v>
      </c>
      <c r="R210" s="121"/>
      <c r="S210" s="121"/>
      <c r="T210" s="121"/>
      <c r="U210" s="121">
        <f t="shared" si="51"/>
        <v>0</v>
      </c>
      <c r="V210" s="121">
        <f t="shared" si="55"/>
        <v>0</v>
      </c>
      <c r="W210" s="121"/>
      <c r="X210" s="122">
        <f t="shared" si="52"/>
        <v>2370</v>
      </c>
      <c r="Y210" s="122">
        <v>1270</v>
      </c>
      <c r="Z210" s="122"/>
      <c r="AA210" s="122">
        <f t="shared" si="56"/>
        <v>1270</v>
      </c>
      <c r="AB210" s="122">
        <f t="shared" si="57"/>
        <v>-1100</v>
      </c>
      <c r="AC210" s="121"/>
      <c r="AD210" s="121"/>
      <c r="AE210" s="121"/>
      <c r="AF210" s="83">
        <f t="shared" si="58"/>
        <v>0</v>
      </c>
    </row>
    <row r="211" spans="2:35" x14ac:dyDescent="0.25">
      <c r="B211" s="3" t="s">
        <v>102</v>
      </c>
      <c r="C211" s="5">
        <f>66406.6-14000</f>
        <v>52406.600000000006</v>
      </c>
      <c r="D211" s="2"/>
      <c r="E211" s="2"/>
      <c r="F211" s="2"/>
      <c r="G211" s="2"/>
      <c r="H211" s="2"/>
      <c r="I211" s="5">
        <f>42348.4</f>
        <v>42348.4</v>
      </c>
      <c r="J211" s="2"/>
      <c r="K211" s="5">
        <f>(((G211)+(H211))+(I211))+(J211)+14000</f>
        <v>56348.4</v>
      </c>
      <c r="L211" s="5">
        <f t="shared" si="66"/>
        <v>108755</v>
      </c>
      <c r="M211" s="167">
        <v>5500</v>
      </c>
      <c r="N211" s="167">
        <v>5500</v>
      </c>
      <c r="O211" s="167">
        <v>5500</v>
      </c>
      <c r="P211" s="167">
        <f t="shared" si="53"/>
        <v>11000</v>
      </c>
      <c r="Q211" s="168">
        <f t="shared" si="54"/>
        <v>63406.600000000006</v>
      </c>
      <c r="R211" s="121">
        <v>5384.16</v>
      </c>
      <c r="S211" s="121">
        <v>5384.16</v>
      </c>
      <c r="T211" s="121">
        <v>5384.16</v>
      </c>
      <c r="U211" s="121">
        <f t="shared" si="51"/>
        <v>10768.32</v>
      </c>
      <c r="V211" s="121">
        <f t="shared" si="55"/>
        <v>67116.72</v>
      </c>
      <c r="W211" s="121"/>
      <c r="X211" s="122">
        <f t="shared" si="52"/>
        <v>130523.32</v>
      </c>
      <c r="Y211" s="122">
        <v>118050</v>
      </c>
      <c r="Z211" s="122">
        <v>24000</v>
      </c>
      <c r="AA211" s="122">
        <f t="shared" si="56"/>
        <v>142050</v>
      </c>
      <c r="AB211" s="122">
        <f t="shared" si="57"/>
        <v>11526.679999999993</v>
      </c>
      <c r="AC211" s="121"/>
      <c r="AD211" s="121" t="e">
        <f>+#REF!</f>
        <v>#REF!</v>
      </c>
      <c r="AE211" s="121" t="e">
        <f>+#REF!</f>
        <v>#REF!</v>
      </c>
      <c r="AF211" s="83" t="e">
        <f t="shared" si="58"/>
        <v>#REF!</v>
      </c>
      <c r="AI211" s="72"/>
    </row>
    <row r="212" spans="2:35" x14ac:dyDescent="0.25">
      <c r="B212" s="3" t="s">
        <v>101</v>
      </c>
      <c r="C212" s="2"/>
      <c r="D212" s="2"/>
      <c r="E212" s="2"/>
      <c r="F212" s="2"/>
      <c r="G212" s="2"/>
      <c r="H212" s="2"/>
      <c r="I212" s="5">
        <f>263</f>
        <v>263</v>
      </c>
      <c r="J212" s="2"/>
      <c r="K212" s="5">
        <f t="shared" si="65"/>
        <v>263</v>
      </c>
      <c r="L212" s="5">
        <f t="shared" si="66"/>
        <v>263</v>
      </c>
      <c r="M212" s="167"/>
      <c r="N212" s="167"/>
      <c r="O212" s="167"/>
      <c r="P212" s="167">
        <f t="shared" si="53"/>
        <v>0</v>
      </c>
      <c r="Q212" s="168">
        <f t="shared" si="54"/>
        <v>0</v>
      </c>
      <c r="R212" s="121">
        <v>29.22</v>
      </c>
      <c r="S212" s="121">
        <v>29.22</v>
      </c>
      <c r="T212" s="121">
        <v>29.22</v>
      </c>
      <c r="U212" s="121">
        <f t="shared" si="51"/>
        <v>58.44</v>
      </c>
      <c r="V212" s="121">
        <f t="shared" si="55"/>
        <v>321.44</v>
      </c>
      <c r="W212" s="121"/>
      <c r="X212" s="122">
        <f t="shared" si="52"/>
        <v>321.44</v>
      </c>
      <c r="Y212" s="122">
        <v>1000</v>
      </c>
      <c r="Z212" s="122"/>
      <c r="AA212" s="122">
        <f t="shared" si="56"/>
        <v>1000</v>
      </c>
      <c r="AB212" s="122">
        <f t="shared" si="57"/>
        <v>678.56</v>
      </c>
      <c r="AC212" s="121"/>
      <c r="AD212" s="121">
        <v>1000</v>
      </c>
      <c r="AE212" s="121"/>
      <c r="AF212" s="83">
        <f t="shared" si="58"/>
        <v>1000</v>
      </c>
    </row>
    <row r="213" spans="2:35" x14ac:dyDescent="0.25">
      <c r="B213" s="3" t="s">
        <v>100</v>
      </c>
      <c r="C213" s="5">
        <f>6640.67</f>
        <v>6640.67</v>
      </c>
      <c r="D213" s="2"/>
      <c r="E213" s="2"/>
      <c r="F213" s="2"/>
      <c r="G213" s="2"/>
      <c r="H213" s="2"/>
      <c r="I213" s="5">
        <f>5348.91</f>
        <v>5348.91</v>
      </c>
      <c r="J213" s="2"/>
      <c r="K213" s="5">
        <f t="shared" si="65"/>
        <v>5348.91</v>
      </c>
      <c r="L213" s="5">
        <f t="shared" si="66"/>
        <v>11989.58</v>
      </c>
      <c r="M213" s="169">
        <f>+M211*0.1</f>
        <v>550</v>
      </c>
      <c r="N213" s="169">
        <f>+N211*0.1</f>
        <v>550</v>
      </c>
      <c r="O213" s="169">
        <f>+O211*0.1</f>
        <v>550</v>
      </c>
      <c r="P213" s="167">
        <f t="shared" si="53"/>
        <v>1100</v>
      </c>
      <c r="Q213" s="168">
        <f t="shared" si="54"/>
        <v>7740.67</v>
      </c>
      <c r="R213" s="170">
        <f>+R211*0.1</f>
        <v>538.41600000000005</v>
      </c>
      <c r="S213" s="171">
        <f>+S211*0.1</f>
        <v>538.41600000000005</v>
      </c>
      <c r="T213" s="171">
        <f>+T211*0.1</f>
        <v>538.41600000000005</v>
      </c>
      <c r="U213" s="121">
        <f t="shared" si="51"/>
        <v>1076.8320000000001</v>
      </c>
      <c r="V213" s="121">
        <f t="shared" si="55"/>
        <v>6425.7420000000002</v>
      </c>
      <c r="W213" s="121"/>
      <c r="X213" s="123">
        <f t="shared" si="52"/>
        <v>14166.412</v>
      </c>
      <c r="Y213" s="123">
        <f>+Y211*0.1</f>
        <v>11805</v>
      </c>
      <c r="Z213" s="123">
        <f>+Z211*0.1</f>
        <v>2400</v>
      </c>
      <c r="AA213" s="122">
        <f t="shared" si="56"/>
        <v>14205</v>
      </c>
      <c r="AB213" s="122">
        <f t="shared" si="57"/>
        <v>38.587999999999738</v>
      </c>
      <c r="AC213" s="121"/>
      <c r="AD213" s="171" t="e">
        <f>+AD211*0.1</f>
        <v>#REF!</v>
      </c>
      <c r="AE213" s="171" t="e">
        <f>+AE211*0.1</f>
        <v>#REF!</v>
      </c>
      <c r="AF213" s="83" t="e">
        <f t="shared" si="58"/>
        <v>#REF!</v>
      </c>
    </row>
    <row r="214" spans="2:35" ht="23.25" x14ac:dyDescent="0.25">
      <c r="B214" s="3" t="s">
        <v>99</v>
      </c>
      <c r="C214" s="4">
        <f t="shared" ref="C214:AF214" si="67">((((C209)+(C210))+(C211))+(C212))+(C213)</f>
        <v>61417.270000000004</v>
      </c>
      <c r="D214" s="4">
        <f t="shared" si="67"/>
        <v>0</v>
      </c>
      <c r="E214" s="4">
        <f t="shared" si="67"/>
        <v>0</v>
      </c>
      <c r="F214" s="4">
        <f t="shared" si="67"/>
        <v>0</v>
      </c>
      <c r="G214" s="4">
        <f t="shared" si="67"/>
        <v>0</v>
      </c>
      <c r="H214" s="4">
        <f t="shared" si="67"/>
        <v>0</v>
      </c>
      <c r="I214" s="4">
        <f t="shared" si="67"/>
        <v>47960.31</v>
      </c>
      <c r="J214" s="4">
        <f t="shared" si="67"/>
        <v>0</v>
      </c>
      <c r="K214" s="4">
        <f t="shared" si="67"/>
        <v>61960.31</v>
      </c>
      <c r="L214" s="4">
        <f t="shared" si="67"/>
        <v>123377.58</v>
      </c>
      <c r="M214" s="4">
        <f t="shared" si="67"/>
        <v>6050</v>
      </c>
      <c r="N214" s="4">
        <f t="shared" si="67"/>
        <v>6050</v>
      </c>
      <c r="O214" s="4">
        <f t="shared" si="67"/>
        <v>6050</v>
      </c>
      <c r="P214" s="4">
        <f t="shared" si="67"/>
        <v>12100</v>
      </c>
      <c r="Q214" s="110">
        <f t="shared" si="67"/>
        <v>73517.27</v>
      </c>
      <c r="R214" s="4">
        <f t="shared" si="67"/>
        <v>5951.7960000000003</v>
      </c>
      <c r="S214" s="4">
        <f t="shared" si="67"/>
        <v>5951.7960000000003</v>
      </c>
      <c r="T214" s="4">
        <f t="shared" si="67"/>
        <v>5951.7960000000003</v>
      </c>
      <c r="U214" s="4">
        <f t="shared" si="67"/>
        <v>11903.592000000001</v>
      </c>
      <c r="V214" s="4">
        <f t="shared" si="67"/>
        <v>73863.902000000002</v>
      </c>
      <c r="W214" s="4"/>
      <c r="X214" s="124">
        <f t="shared" si="67"/>
        <v>147381.17200000002</v>
      </c>
      <c r="Y214" s="124">
        <f t="shared" si="67"/>
        <v>132125</v>
      </c>
      <c r="Z214" s="124">
        <f t="shared" si="67"/>
        <v>26400</v>
      </c>
      <c r="AA214" s="124">
        <f t="shared" si="67"/>
        <v>158525</v>
      </c>
      <c r="AB214" s="124">
        <f t="shared" si="67"/>
        <v>11143.827999999992</v>
      </c>
      <c r="AC214" s="4"/>
      <c r="AD214" s="4" t="e">
        <f t="shared" si="67"/>
        <v>#REF!</v>
      </c>
      <c r="AE214" s="4" t="e">
        <f t="shared" si="67"/>
        <v>#REF!</v>
      </c>
      <c r="AF214" s="124" t="e">
        <f t="shared" si="67"/>
        <v>#REF!</v>
      </c>
    </row>
    <row r="215" spans="2:35" x14ac:dyDescent="0.25">
      <c r="B215" s="3" t="s">
        <v>98</v>
      </c>
      <c r="C215" s="2"/>
      <c r="D215" s="2"/>
      <c r="E215" s="2"/>
      <c r="F215" s="2"/>
      <c r="G215" s="2"/>
      <c r="H215" s="2"/>
      <c r="I215" s="2"/>
      <c r="J215" s="2"/>
      <c r="K215" s="5">
        <f t="shared" ref="K215:K217" si="68">(((G215)+(H215))+(I215))+(J215)</f>
        <v>0</v>
      </c>
      <c r="L215" s="5">
        <f t="shared" ref="L215:L217" si="69">((((C215)+(D215))+(E215))+(F215))+(K215)</f>
        <v>0</v>
      </c>
      <c r="M215" s="103"/>
      <c r="N215" s="103"/>
      <c r="O215" s="103"/>
      <c r="P215" s="103"/>
      <c r="Q215" s="111"/>
      <c r="R215" s="115"/>
      <c r="S215" s="115"/>
      <c r="T215" s="115"/>
      <c r="U215" s="115"/>
      <c r="V215" s="115"/>
      <c r="W215" s="115"/>
      <c r="X215" s="122"/>
      <c r="Y215" s="122"/>
      <c r="Z215" s="122"/>
      <c r="AA215" s="122"/>
      <c r="AB215" s="122"/>
      <c r="AC215" s="121"/>
      <c r="AD215" s="121"/>
      <c r="AE215" s="121"/>
      <c r="AF215" s="83"/>
    </row>
    <row r="216" spans="2:35" x14ac:dyDescent="0.25">
      <c r="B216" s="3" t="s">
        <v>97</v>
      </c>
      <c r="C216" s="5">
        <f>5500</f>
        <v>5500</v>
      </c>
      <c r="D216" s="2"/>
      <c r="E216" s="2"/>
      <c r="F216" s="2"/>
      <c r="G216" s="2"/>
      <c r="H216" s="2"/>
      <c r="I216" s="5">
        <f>16500</f>
        <v>16500</v>
      </c>
      <c r="J216" s="2"/>
      <c r="K216" s="5">
        <f t="shared" si="68"/>
        <v>16500</v>
      </c>
      <c r="L216" s="5">
        <f t="shared" si="69"/>
        <v>22000</v>
      </c>
      <c r="M216" s="103">
        <v>440</v>
      </c>
      <c r="N216" s="103">
        <v>440</v>
      </c>
      <c r="O216" s="103">
        <v>440</v>
      </c>
      <c r="P216" s="167">
        <f t="shared" ref="P216" si="70">SUM(N216:O216)</f>
        <v>880</v>
      </c>
      <c r="Q216" s="168">
        <f t="shared" ref="Q216:Q217" si="71">+P216+C216</f>
        <v>6380</v>
      </c>
      <c r="R216" s="121">
        <v>1760</v>
      </c>
      <c r="S216" s="121">
        <v>1760</v>
      </c>
      <c r="T216" s="121">
        <v>1760</v>
      </c>
      <c r="U216" s="121">
        <f t="shared" ref="U216:U217" si="72">SUM(S216:T216)</f>
        <v>3520</v>
      </c>
      <c r="V216" s="121">
        <f t="shared" ref="V216:V217" si="73">+U216+K216</f>
        <v>20020</v>
      </c>
      <c r="W216" s="121"/>
      <c r="X216" s="122">
        <f t="shared" ref="X216:X222" si="74">+V216+Q216</f>
        <v>26400</v>
      </c>
      <c r="Y216" s="122">
        <v>26400</v>
      </c>
      <c r="Z216" s="122"/>
      <c r="AA216" s="122">
        <f t="shared" ref="AA216:AA235" si="75">+Y216+Z216</f>
        <v>26400</v>
      </c>
      <c r="AB216" s="122">
        <f t="shared" ref="AB216:AB237" si="76">+AA216-X216</f>
        <v>0</v>
      </c>
      <c r="AC216" s="121"/>
      <c r="AD216" s="121">
        <f>19800+6600</f>
        <v>26400</v>
      </c>
      <c r="AE216" s="121"/>
      <c r="AF216" s="83">
        <f t="shared" ref="AF216:AF218" si="77">+AD216+AE216</f>
        <v>26400</v>
      </c>
    </row>
    <row r="217" spans="2:35" x14ac:dyDescent="0.25">
      <c r="B217" s="3" t="s">
        <v>96</v>
      </c>
      <c r="C217" s="2"/>
      <c r="D217" s="2"/>
      <c r="E217" s="2"/>
      <c r="F217" s="2"/>
      <c r="G217" s="2"/>
      <c r="H217" s="2"/>
      <c r="I217" s="5">
        <f>10055</f>
        <v>10055</v>
      </c>
      <c r="J217" s="2"/>
      <c r="K217" s="5">
        <f t="shared" si="68"/>
        <v>10055</v>
      </c>
      <c r="L217" s="5">
        <f t="shared" si="69"/>
        <v>10055</v>
      </c>
      <c r="M217" s="103"/>
      <c r="N217" s="103"/>
      <c r="O217" s="103"/>
      <c r="P217" s="103"/>
      <c r="Q217" s="168">
        <f t="shared" si="71"/>
        <v>0</v>
      </c>
      <c r="R217" s="172">
        <v>1750</v>
      </c>
      <c r="S217" s="172"/>
      <c r="T217" s="172"/>
      <c r="U217" s="121">
        <f t="shared" si="72"/>
        <v>0</v>
      </c>
      <c r="V217" s="172">
        <f t="shared" si="73"/>
        <v>10055</v>
      </c>
      <c r="W217" s="172"/>
      <c r="X217" s="122">
        <f t="shared" si="74"/>
        <v>10055</v>
      </c>
      <c r="Y217" s="125">
        <v>9500</v>
      </c>
      <c r="Z217" s="125"/>
      <c r="AA217" s="122">
        <f t="shared" si="75"/>
        <v>9500</v>
      </c>
      <c r="AB217" s="122">
        <f t="shared" si="76"/>
        <v>-555</v>
      </c>
      <c r="AC217" s="121"/>
      <c r="AD217" s="172">
        <v>9500</v>
      </c>
      <c r="AE217" s="172"/>
      <c r="AF217" s="83">
        <f t="shared" si="77"/>
        <v>9500</v>
      </c>
    </row>
    <row r="218" spans="2:35" x14ac:dyDescent="0.25">
      <c r="B218" s="3" t="s">
        <v>95</v>
      </c>
      <c r="C218" s="2"/>
      <c r="D218" s="2"/>
      <c r="E218" s="2"/>
      <c r="F218" s="2"/>
      <c r="G218" s="2"/>
      <c r="H218" s="2"/>
      <c r="I218" s="5"/>
      <c r="J218" s="2"/>
      <c r="K218" s="5"/>
      <c r="L218" s="5"/>
      <c r="M218" s="103"/>
      <c r="N218" s="103"/>
      <c r="O218" s="103"/>
      <c r="P218" s="103"/>
      <c r="Q218" s="168"/>
      <c r="R218" s="172"/>
      <c r="S218" s="172"/>
      <c r="T218" s="172"/>
      <c r="U218" s="121"/>
      <c r="V218" s="121"/>
      <c r="W218" s="121"/>
      <c r="X218" s="122"/>
      <c r="Y218" s="125">
        <v>1000</v>
      </c>
      <c r="Z218" s="125"/>
      <c r="AA218" s="122">
        <f t="shared" si="75"/>
        <v>1000</v>
      </c>
      <c r="AB218" s="122">
        <f t="shared" si="76"/>
        <v>1000</v>
      </c>
      <c r="AC218" s="121"/>
      <c r="AD218" s="172">
        <v>1000</v>
      </c>
      <c r="AE218" s="172"/>
      <c r="AF218" s="83">
        <f t="shared" si="77"/>
        <v>1000</v>
      </c>
    </row>
    <row r="219" spans="2:35" x14ac:dyDescent="0.25">
      <c r="B219" s="3" t="s">
        <v>94</v>
      </c>
      <c r="C219" s="4">
        <f t="shared" ref="C219:J219" si="78">((C215)+(C216))+(C217)</f>
        <v>5500</v>
      </c>
      <c r="D219" s="4">
        <f t="shared" si="78"/>
        <v>0</v>
      </c>
      <c r="E219" s="4">
        <f t="shared" si="78"/>
        <v>0</v>
      </c>
      <c r="F219" s="4">
        <f t="shared" si="78"/>
        <v>0</v>
      </c>
      <c r="G219" s="4">
        <f t="shared" si="78"/>
        <v>0</v>
      </c>
      <c r="H219" s="4">
        <f t="shared" si="78"/>
        <v>0</v>
      </c>
      <c r="I219" s="4">
        <f t="shared" si="78"/>
        <v>26555</v>
      </c>
      <c r="J219" s="4">
        <f t="shared" si="78"/>
        <v>0</v>
      </c>
      <c r="K219" s="4">
        <f t="shared" ref="K219:K237" si="79">(((G219)+(H219))+(I219))+(J219)</f>
        <v>26555</v>
      </c>
      <c r="L219" s="4">
        <f t="shared" ref="L219:L237" si="80">((((C219)+(D219))+(E219))+(F219))+(K219)</f>
        <v>32055</v>
      </c>
      <c r="M219" s="4">
        <f t="shared" ref="M219:X219" si="81">((M215)+(M216))+(M217)</f>
        <v>440</v>
      </c>
      <c r="N219" s="4">
        <f t="shared" si="81"/>
        <v>440</v>
      </c>
      <c r="O219" s="4">
        <f t="shared" si="81"/>
        <v>440</v>
      </c>
      <c r="P219" s="4">
        <f t="shared" si="81"/>
        <v>880</v>
      </c>
      <c r="Q219" s="110">
        <f t="shared" si="81"/>
        <v>6380</v>
      </c>
      <c r="R219" s="4">
        <f t="shared" si="81"/>
        <v>3510</v>
      </c>
      <c r="S219" s="4">
        <f t="shared" si="81"/>
        <v>1760</v>
      </c>
      <c r="T219" s="4">
        <f t="shared" si="81"/>
        <v>1760</v>
      </c>
      <c r="U219" s="4">
        <f t="shared" si="81"/>
        <v>3520</v>
      </c>
      <c r="V219" s="4">
        <f t="shared" si="81"/>
        <v>30075</v>
      </c>
      <c r="W219" s="4"/>
      <c r="X219" s="124">
        <f t="shared" si="81"/>
        <v>36455</v>
      </c>
      <c r="Y219" s="124">
        <f>((Y215)+(Y216))+(Y217)+Y218</f>
        <v>36900</v>
      </c>
      <c r="Z219" s="124">
        <f t="shared" ref="Z219:AF219" si="82">((Z215)+(Z216))+(Z217)+Z218</f>
        <v>0</v>
      </c>
      <c r="AA219" s="124">
        <f t="shared" si="82"/>
        <v>36900</v>
      </c>
      <c r="AB219" s="124">
        <f>((AB215)+(AB216))+(AB217)+AB218</f>
        <v>445</v>
      </c>
      <c r="AC219" s="4"/>
      <c r="AD219" s="4">
        <f t="shared" si="82"/>
        <v>36900</v>
      </c>
      <c r="AE219" s="4">
        <f t="shared" si="82"/>
        <v>0</v>
      </c>
      <c r="AF219" s="124">
        <f t="shared" si="82"/>
        <v>36900</v>
      </c>
    </row>
    <row r="220" spans="2:35" x14ac:dyDescent="0.25">
      <c r="B220" s="3" t="s">
        <v>93</v>
      </c>
      <c r="C220" s="2"/>
      <c r="D220" s="2"/>
      <c r="E220" s="2"/>
      <c r="F220" s="2"/>
      <c r="G220" s="2"/>
      <c r="H220" s="2"/>
      <c r="I220" s="2"/>
      <c r="J220" s="2"/>
      <c r="K220" s="5">
        <f t="shared" si="79"/>
        <v>0</v>
      </c>
      <c r="L220" s="5">
        <f t="shared" si="80"/>
        <v>0</v>
      </c>
      <c r="M220" s="103"/>
      <c r="N220" s="103"/>
      <c r="O220" s="167"/>
      <c r="P220" s="167">
        <f t="shared" ref="P220" si="83">SUM(M220:O220)</f>
        <v>0</v>
      </c>
      <c r="Q220" s="168">
        <f t="shared" ref="Q220:Q222" si="84">+P220+C220</f>
        <v>0</v>
      </c>
      <c r="R220" s="115"/>
      <c r="S220" s="115"/>
      <c r="T220" s="115"/>
      <c r="U220" s="121">
        <f t="shared" ref="U220:U222" si="85">SUM(R220:T220)</f>
        <v>0</v>
      </c>
      <c r="V220" s="121">
        <f t="shared" ref="V220:V222" si="86">+U220+K220</f>
        <v>0</v>
      </c>
      <c r="W220" s="121"/>
      <c r="X220" s="122">
        <f t="shared" si="74"/>
        <v>0</v>
      </c>
      <c r="Y220" s="122"/>
      <c r="Z220" s="122"/>
      <c r="AA220" s="122">
        <f t="shared" si="75"/>
        <v>0</v>
      </c>
      <c r="AB220" s="122">
        <f t="shared" si="76"/>
        <v>0</v>
      </c>
      <c r="AC220" s="121"/>
      <c r="AD220" s="121"/>
      <c r="AE220" s="121"/>
      <c r="AF220" s="83"/>
    </row>
    <row r="221" spans="2:35" x14ac:dyDescent="0.25">
      <c r="B221" s="3" t="s">
        <v>92</v>
      </c>
      <c r="C221" s="2"/>
      <c r="D221" s="2"/>
      <c r="E221" s="2"/>
      <c r="F221" s="2"/>
      <c r="G221" s="2"/>
      <c r="H221" s="2"/>
      <c r="I221" s="2"/>
      <c r="J221" s="5">
        <f>0</f>
        <v>0</v>
      </c>
      <c r="K221" s="5">
        <f t="shared" si="79"/>
        <v>0</v>
      </c>
      <c r="L221" s="5">
        <f t="shared" si="80"/>
        <v>0</v>
      </c>
      <c r="M221" s="103"/>
      <c r="N221" s="103"/>
      <c r="O221" s="103"/>
      <c r="P221" s="103"/>
      <c r="Q221" s="168">
        <f t="shared" si="84"/>
        <v>0</v>
      </c>
      <c r="R221" s="115"/>
      <c r="S221" s="115"/>
      <c r="T221" s="115"/>
      <c r="U221" s="121">
        <f t="shared" si="85"/>
        <v>0</v>
      </c>
      <c r="V221" s="121">
        <f t="shared" si="86"/>
        <v>0</v>
      </c>
      <c r="W221" s="121"/>
      <c r="X221" s="122">
        <f t="shared" si="74"/>
        <v>0</v>
      </c>
      <c r="Y221" s="122"/>
      <c r="Z221" s="122"/>
      <c r="AA221" s="122">
        <f t="shared" si="75"/>
        <v>0</v>
      </c>
      <c r="AB221" s="122">
        <f t="shared" si="76"/>
        <v>0</v>
      </c>
      <c r="AC221" s="121"/>
      <c r="AD221" s="121"/>
      <c r="AE221" s="121"/>
      <c r="AF221" s="83"/>
    </row>
    <row r="222" spans="2:35" x14ac:dyDescent="0.25">
      <c r="B222" s="3" t="s">
        <v>91</v>
      </c>
      <c r="C222" s="5">
        <f>4301.7</f>
        <v>4301.7</v>
      </c>
      <c r="D222" s="2"/>
      <c r="E222" s="2"/>
      <c r="F222" s="2"/>
      <c r="G222" s="2"/>
      <c r="H222" s="2"/>
      <c r="I222" s="5">
        <f>4301.68</f>
        <v>4301.68</v>
      </c>
      <c r="J222" s="2"/>
      <c r="K222" s="5">
        <f t="shared" si="79"/>
        <v>4301.68</v>
      </c>
      <c r="L222" s="5">
        <f t="shared" si="80"/>
        <v>8603.380000000001</v>
      </c>
      <c r="M222" s="104"/>
      <c r="N222" s="104"/>
      <c r="O222" s="104"/>
      <c r="P222" s="104"/>
      <c r="Q222" s="168">
        <f t="shared" si="84"/>
        <v>4301.7</v>
      </c>
      <c r="R222" s="173"/>
      <c r="S222" s="116"/>
      <c r="T222" s="116"/>
      <c r="U222" s="121">
        <f t="shared" si="85"/>
        <v>0</v>
      </c>
      <c r="V222" s="121">
        <f t="shared" si="86"/>
        <v>4301.68</v>
      </c>
      <c r="W222" s="121"/>
      <c r="X222" s="123">
        <f t="shared" si="74"/>
        <v>8603.380000000001</v>
      </c>
      <c r="Y222" s="123">
        <v>6500</v>
      </c>
      <c r="Z222" s="123"/>
      <c r="AA222" s="122">
        <f t="shared" si="75"/>
        <v>6500</v>
      </c>
      <c r="AB222" s="122">
        <f t="shared" si="76"/>
        <v>-2103.380000000001</v>
      </c>
      <c r="AC222" s="121"/>
      <c r="AD222" s="171">
        <v>9000</v>
      </c>
      <c r="AE222" s="171"/>
      <c r="AF222" s="83">
        <f t="shared" ref="AF222" si="87">+AD222+AE222</f>
        <v>9000</v>
      </c>
    </row>
    <row r="223" spans="2:35" x14ac:dyDescent="0.25">
      <c r="B223" s="3" t="s">
        <v>90</v>
      </c>
      <c r="C223" s="4">
        <f t="shared" ref="C223:J223" si="88">((C220)+(C221))+(C222)</f>
        <v>4301.7</v>
      </c>
      <c r="D223" s="4">
        <f t="shared" si="88"/>
        <v>0</v>
      </c>
      <c r="E223" s="4">
        <f t="shared" si="88"/>
        <v>0</v>
      </c>
      <c r="F223" s="4">
        <f t="shared" si="88"/>
        <v>0</v>
      </c>
      <c r="G223" s="4">
        <f t="shared" si="88"/>
        <v>0</v>
      </c>
      <c r="H223" s="4">
        <f t="shared" si="88"/>
        <v>0</v>
      </c>
      <c r="I223" s="4">
        <f t="shared" si="88"/>
        <v>4301.68</v>
      </c>
      <c r="J223" s="4">
        <f t="shared" si="88"/>
        <v>0</v>
      </c>
      <c r="K223" s="4">
        <f t="shared" si="79"/>
        <v>4301.68</v>
      </c>
      <c r="L223" s="4">
        <f t="shared" si="80"/>
        <v>8603.380000000001</v>
      </c>
      <c r="M223" s="4">
        <f t="shared" ref="M223:AF223" si="89">((M220)+(M221))+(M222)</f>
        <v>0</v>
      </c>
      <c r="N223" s="4">
        <f t="shared" si="89"/>
        <v>0</v>
      </c>
      <c r="O223" s="4">
        <f t="shared" si="89"/>
        <v>0</v>
      </c>
      <c r="P223" s="4">
        <f t="shared" si="89"/>
        <v>0</v>
      </c>
      <c r="Q223" s="110">
        <f t="shared" si="89"/>
        <v>4301.7</v>
      </c>
      <c r="R223" s="4">
        <f t="shared" si="89"/>
        <v>0</v>
      </c>
      <c r="S223" s="4">
        <f t="shared" si="89"/>
        <v>0</v>
      </c>
      <c r="T223" s="4">
        <f t="shared" si="89"/>
        <v>0</v>
      </c>
      <c r="U223" s="4">
        <f t="shared" si="89"/>
        <v>0</v>
      </c>
      <c r="V223" s="4">
        <f t="shared" si="89"/>
        <v>4301.68</v>
      </c>
      <c r="W223" s="4"/>
      <c r="X223" s="124">
        <f t="shared" si="89"/>
        <v>8603.380000000001</v>
      </c>
      <c r="Y223" s="124">
        <f t="shared" si="89"/>
        <v>6500</v>
      </c>
      <c r="Z223" s="124">
        <f t="shared" si="89"/>
        <v>0</v>
      </c>
      <c r="AA223" s="124">
        <f t="shared" si="89"/>
        <v>6500</v>
      </c>
      <c r="AB223" s="124">
        <f t="shared" si="89"/>
        <v>-2103.380000000001</v>
      </c>
      <c r="AC223" s="4"/>
      <c r="AD223" s="4">
        <f t="shared" si="89"/>
        <v>9000</v>
      </c>
      <c r="AE223" s="4">
        <f t="shared" si="89"/>
        <v>0</v>
      </c>
      <c r="AF223" s="124">
        <f t="shared" si="89"/>
        <v>9000</v>
      </c>
    </row>
    <row r="224" spans="2:35" x14ac:dyDescent="0.25">
      <c r="B224" s="3" t="s">
        <v>89</v>
      </c>
      <c r="C224" s="2"/>
      <c r="D224" s="2"/>
      <c r="E224" s="2"/>
      <c r="F224" s="2"/>
      <c r="G224" s="2"/>
      <c r="H224" s="2"/>
      <c r="I224" s="5">
        <f>445.52</f>
        <v>445.52</v>
      </c>
      <c r="J224" s="2"/>
      <c r="K224" s="5">
        <f t="shared" si="79"/>
        <v>445.52</v>
      </c>
      <c r="L224" s="5">
        <f t="shared" si="80"/>
        <v>445.52</v>
      </c>
      <c r="M224" s="103"/>
      <c r="N224" s="103"/>
      <c r="O224" s="103"/>
      <c r="P224" s="103"/>
      <c r="Q224" s="111"/>
      <c r="R224" s="115"/>
      <c r="S224" s="115"/>
      <c r="T224" s="115"/>
      <c r="U224" s="115"/>
      <c r="V224" s="121">
        <f>+U224+K224</f>
        <v>445.52</v>
      </c>
      <c r="W224" s="121"/>
      <c r="X224" s="122">
        <f>+V224+Q224</f>
        <v>445.52</v>
      </c>
      <c r="Y224" s="122"/>
      <c r="Z224" s="122"/>
      <c r="AA224" s="122">
        <f t="shared" si="75"/>
        <v>0</v>
      </c>
      <c r="AB224" s="122">
        <f t="shared" si="76"/>
        <v>-445.52</v>
      </c>
      <c r="AC224" s="121"/>
      <c r="AD224" s="121">
        <v>1500</v>
      </c>
      <c r="AE224" s="121"/>
      <c r="AF224" s="83">
        <f t="shared" ref="AF224:AF235" si="90">+AD224+AE224</f>
        <v>1500</v>
      </c>
    </row>
    <row r="225" spans="2:32" x14ac:dyDescent="0.25">
      <c r="B225" s="3" t="s">
        <v>88</v>
      </c>
      <c r="C225" s="5">
        <f>1649.4</f>
        <v>1649.4</v>
      </c>
      <c r="D225" s="2"/>
      <c r="E225" s="2"/>
      <c r="F225" s="2"/>
      <c r="G225" s="2"/>
      <c r="H225" s="5">
        <f>250</f>
        <v>250</v>
      </c>
      <c r="I225" s="5">
        <f>250</f>
        <v>250</v>
      </c>
      <c r="J225" s="2"/>
      <c r="K225" s="5">
        <f t="shared" si="79"/>
        <v>500</v>
      </c>
      <c r="L225" s="5">
        <f t="shared" si="80"/>
        <v>2149.4</v>
      </c>
      <c r="M225" s="103">
        <v>20</v>
      </c>
      <c r="N225" s="103">
        <v>20</v>
      </c>
      <c r="O225" s="103">
        <v>20</v>
      </c>
      <c r="P225" s="167">
        <f t="shared" ref="P225:P230" si="91">SUM(N225:O225)</f>
        <v>40</v>
      </c>
      <c r="Q225" s="168">
        <f t="shared" ref="Q225:Q230" si="92">+P225+C225</f>
        <v>1689.4</v>
      </c>
      <c r="R225" s="115"/>
      <c r="S225" s="115"/>
      <c r="T225" s="115"/>
      <c r="U225" s="121">
        <f t="shared" ref="U225:U230" si="93">SUM(S225:T225)</f>
        <v>0</v>
      </c>
      <c r="V225" s="121">
        <f>+U225+K225</f>
        <v>500</v>
      </c>
      <c r="W225" s="121"/>
      <c r="X225" s="122">
        <f>+V225+Q225</f>
        <v>2189.4</v>
      </c>
      <c r="Y225" s="122">
        <v>1450</v>
      </c>
      <c r="Z225" s="122"/>
      <c r="AA225" s="122">
        <f t="shared" si="75"/>
        <v>1450</v>
      </c>
      <c r="AB225" s="122">
        <f t="shared" si="76"/>
        <v>-739.40000000000009</v>
      </c>
      <c r="AC225" s="121"/>
      <c r="AD225" s="121">
        <v>1000</v>
      </c>
      <c r="AE225" s="121"/>
      <c r="AF225" s="83">
        <f t="shared" si="90"/>
        <v>1000</v>
      </c>
    </row>
    <row r="226" spans="2:32" x14ac:dyDescent="0.25">
      <c r="B226" s="3" t="s">
        <v>87</v>
      </c>
      <c r="C226" s="5">
        <f>15.11</f>
        <v>15.11</v>
      </c>
      <c r="D226" s="2"/>
      <c r="E226" s="2"/>
      <c r="F226" s="2"/>
      <c r="G226" s="2"/>
      <c r="H226" s="2"/>
      <c r="I226" s="2"/>
      <c r="J226" s="5">
        <f>240</f>
        <v>240</v>
      </c>
      <c r="K226" s="5">
        <f t="shared" si="79"/>
        <v>240</v>
      </c>
      <c r="L226" s="5">
        <f t="shared" si="80"/>
        <v>255.11</v>
      </c>
      <c r="M226" s="103"/>
      <c r="N226" s="103">
        <v>58</v>
      </c>
      <c r="O226" s="103"/>
      <c r="P226" s="167">
        <f t="shared" si="91"/>
        <v>58</v>
      </c>
      <c r="Q226" s="168">
        <f t="shared" si="92"/>
        <v>73.11</v>
      </c>
      <c r="R226" s="115"/>
      <c r="S226" s="115"/>
      <c r="T226" s="115"/>
      <c r="U226" s="121">
        <f t="shared" si="93"/>
        <v>0</v>
      </c>
      <c r="V226" s="121">
        <f t="shared" ref="V226:V230" si="94">+U226+K226</f>
        <v>240</v>
      </c>
      <c r="W226" s="121"/>
      <c r="X226" s="122">
        <f t="shared" ref="X226:X237" si="95">+V226+Q226</f>
        <v>313.11</v>
      </c>
      <c r="Y226" s="122">
        <v>500</v>
      </c>
      <c r="Z226" s="122"/>
      <c r="AA226" s="122">
        <f t="shared" si="75"/>
        <v>500</v>
      </c>
      <c r="AB226" s="122">
        <f t="shared" si="76"/>
        <v>186.89</v>
      </c>
      <c r="AC226" s="121"/>
      <c r="AD226" s="121">
        <v>500</v>
      </c>
      <c r="AE226" s="121"/>
      <c r="AF226" s="83">
        <f t="shared" si="90"/>
        <v>500</v>
      </c>
    </row>
    <row r="227" spans="2:32" x14ac:dyDescent="0.25">
      <c r="B227" s="3" t="s">
        <v>86</v>
      </c>
      <c r="C227" s="5">
        <f>533.59</f>
        <v>533.59</v>
      </c>
      <c r="D227" s="2"/>
      <c r="E227" s="2"/>
      <c r="F227" s="2"/>
      <c r="G227" s="2"/>
      <c r="H227" s="2"/>
      <c r="I227" s="5">
        <f>433.92</f>
        <v>433.92</v>
      </c>
      <c r="J227" s="2"/>
      <c r="K227" s="5">
        <f t="shared" si="79"/>
        <v>433.92</v>
      </c>
      <c r="L227" s="5">
        <f t="shared" si="80"/>
        <v>967.51</v>
      </c>
      <c r="M227" s="103"/>
      <c r="N227" s="103">
        <v>500</v>
      </c>
      <c r="O227" s="103"/>
      <c r="P227" s="167">
        <f t="shared" si="91"/>
        <v>500</v>
      </c>
      <c r="Q227" s="168">
        <f t="shared" si="92"/>
        <v>1033.5900000000001</v>
      </c>
      <c r="R227" s="115"/>
      <c r="S227" s="115"/>
      <c r="T227" s="115"/>
      <c r="U227" s="121">
        <f t="shared" si="93"/>
        <v>0</v>
      </c>
      <c r="V227" s="121">
        <f t="shared" si="94"/>
        <v>433.92</v>
      </c>
      <c r="W227" s="121"/>
      <c r="X227" s="122">
        <f t="shared" si="95"/>
        <v>1467.5100000000002</v>
      </c>
      <c r="Y227" s="122">
        <v>100</v>
      </c>
      <c r="Z227" s="122"/>
      <c r="AA227" s="122">
        <f t="shared" si="75"/>
        <v>100</v>
      </c>
      <c r="AB227" s="122">
        <f t="shared" si="76"/>
        <v>-1367.5100000000002</v>
      </c>
      <c r="AC227" s="121"/>
      <c r="AD227" s="121">
        <v>1000</v>
      </c>
      <c r="AE227" s="121"/>
      <c r="AF227" s="83">
        <f t="shared" si="90"/>
        <v>1000</v>
      </c>
    </row>
    <row r="228" spans="2:32" x14ac:dyDescent="0.25">
      <c r="B228" s="3" t="s">
        <v>85</v>
      </c>
      <c r="C228" s="5">
        <f>173.84</f>
        <v>173.84</v>
      </c>
      <c r="D228" s="2"/>
      <c r="E228" s="2"/>
      <c r="F228" s="2"/>
      <c r="G228" s="2"/>
      <c r="H228" s="5">
        <f>280.05</f>
        <v>280.05</v>
      </c>
      <c r="I228" s="5">
        <f>952.68</f>
        <v>952.68</v>
      </c>
      <c r="J228" s="2"/>
      <c r="K228" s="5">
        <f t="shared" si="79"/>
        <v>1232.73</v>
      </c>
      <c r="L228" s="5">
        <f t="shared" si="80"/>
        <v>1406.57</v>
      </c>
      <c r="M228" s="103"/>
      <c r="N228" s="103"/>
      <c r="O228" s="103">
        <v>100</v>
      </c>
      <c r="P228" s="167">
        <f t="shared" si="91"/>
        <v>100</v>
      </c>
      <c r="Q228" s="168">
        <f t="shared" si="92"/>
        <v>273.84000000000003</v>
      </c>
      <c r="R228" s="115"/>
      <c r="S228" s="115"/>
      <c r="T228" s="115"/>
      <c r="U228" s="121">
        <f t="shared" si="93"/>
        <v>0</v>
      </c>
      <c r="V228" s="121">
        <f t="shared" si="94"/>
        <v>1232.73</v>
      </c>
      <c r="W228" s="121"/>
      <c r="X228" s="122">
        <f t="shared" si="95"/>
        <v>1506.5700000000002</v>
      </c>
      <c r="Y228" s="122">
        <v>2000</v>
      </c>
      <c r="Z228" s="122"/>
      <c r="AA228" s="122">
        <f t="shared" si="75"/>
        <v>2000</v>
      </c>
      <c r="AB228" s="122">
        <f t="shared" si="76"/>
        <v>493.42999999999984</v>
      </c>
      <c r="AC228" s="121"/>
      <c r="AD228" s="121">
        <v>1500</v>
      </c>
      <c r="AE228" s="121"/>
      <c r="AF228" s="83">
        <f t="shared" si="90"/>
        <v>1500</v>
      </c>
    </row>
    <row r="229" spans="2:32" x14ac:dyDescent="0.25">
      <c r="B229" s="3" t="s">
        <v>84</v>
      </c>
      <c r="C229" s="2"/>
      <c r="D229" s="2"/>
      <c r="E229" s="2"/>
      <c r="F229" s="2"/>
      <c r="G229" s="2"/>
      <c r="H229" s="2"/>
      <c r="I229" s="5">
        <f>140</f>
        <v>140</v>
      </c>
      <c r="J229" s="2"/>
      <c r="K229" s="5">
        <f t="shared" si="79"/>
        <v>140</v>
      </c>
      <c r="L229" s="5">
        <f t="shared" si="80"/>
        <v>140</v>
      </c>
      <c r="M229" s="103"/>
      <c r="N229" s="103"/>
      <c r="O229" s="103"/>
      <c r="P229" s="167">
        <f t="shared" si="91"/>
        <v>0</v>
      </c>
      <c r="Q229" s="168">
        <f t="shared" si="92"/>
        <v>0</v>
      </c>
      <c r="R229" s="115"/>
      <c r="S229" s="115"/>
      <c r="T229" s="115"/>
      <c r="U229" s="121">
        <f t="shared" si="93"/>
        <v>0</v>
      </c>
      <c r="V229" s="121">
        <f t="shared" si="94"/>
        <v>140</v>
      </c>
      <c r="W229" s="121"/>
      <c r="X229" s="122">
        <f t="shared" si="95"/>
        <v>140</v>
      </c>
      <c r="Y229" s="122">
        <v>150</v>
      </c>
      <c r="Z229" s="122"/>
      <c r="AA229" s="122">
        <f t="shared" si="75"/>
        <v>150</v>
      </c>
      <c r="AB229" s="122">
        <f t="shared" si="76"/>
        <v>10</v>
      </c>
      <c r="AC229" s="121"/>
      <c r="AD229" s="121">
        <v>150</v>
      </c>
      <c r="AE229" s="121"/>
      <c r="AF229" s="83">
        <f t="shared" si="90"/>
        <v>150</v>
      </c>
    </row>
    <row r="230" spans="2:32" x14ac:dyDescent="0.25">
      <c r="B230" s="3" t="s">
        <v>83</v>
      </c>
      <c r="C230" s="5">
        <f>1267.37</f>
        <v>1267.3699999999999</v>
      </c>
      <c r="D230" s="2"/>
      <c r="E230" s="2"/>
      <c r="F230" s="2"/>
      <c r="G230" s="2"/>
      <c r="H230" s="2"/>
      <c r="I230" s="5">
        <f>744.2</f>
        <v>744.2</v>
      </c>
      <c r="J230" s="2"/>
      <c r="K230" s="5">
        <f t="shared" si="79"/>
        <v>744.2</v>
      </c>
      <c r="L230" s="5">
        <f t="shared" si="80"/>
        <v>2011.57</v>
      </c>
      <c r="M230" s="104">
        <v>15</v>
      </c>
      <c r="N230" s="104">
        <v>15</v>
      </c>
      <c r="O230" s="104">
        <v>15</v>
      </c>
      <c r="P230" s="167">
        <f t="shared" si="91"/>
        <v>30</v>
      </c>
      <c r="Q230" s="168">
        <f t="shared" si="92"/>
        <v>1297.3699999999999</v>
      </c>
      <c r="R230" s="173">
        <v>60</v>
      </c>
      <c r="S230" s="116">
        <v>60</v>
      </c>
      <c r="T230" s="116">
        <v>60</v>
      </c>
      <c r="U230" s="121">
        <f t="shared" si="93"/>
        <v>120</v>
      </c>
      <c r="V230" s="121">
        <f t="shared" si="94"/>
        <v>864.2</v>
      </c>
      <c r="W230" s="121"/>
      <c r="X230" s="122">
        <f t="shared" si="95"/>
        <v>2161.5699999999997</v>
      </c>
      <c r="Y230" s="123">
        <v>540</v>
      </c>
      <c r="Z230" s="123"/>
      <c r="AA230" s="122">
        <f t="shared" si="75"/>
        <v>540</v>
      </c>
      <c r="AB230" s="122">
        <f t="shared" si="76"/>
        <v>-1621.5699999999997</v>
      </c>
      <c r="AC230" s="121"/>
      <c r="AD230" s="171">
        <v>1200</v>
      </c>
      <c r="AE230" s="171"/>
      <c r="AF230" s="83">
        <f t="shared" si="90"/>
        <v>1200</v>
      </c>
    </row>
    <row r="231" spans="2:32" x14ac:dyDescent="0.25">
      <c r="B231" s="3" t="s">
        <v>82</v>
      </c>
      <c r="C231" s="4">
        <f t="shared" ref="C231:J231" si="96">((((((C224)+(C225))+(C226))+(C227))+(C228))+(C229))+(C230)</f>
        <v>3639.31</v>
      </c>
      <c r="D231" s="4">
        <f t="shared" si="96"/>
        <v>0</v>
      </c>
      <c r="E231" s="4">
        <f t="shared" si="96"/>
        <v>0</v>
      </c>
      <c r="F231" s="4">
        <f t="shared" si="96"/>
        <v>0</v>
      </c>
      <c r="G231" s="4">
        <f t="shared" si="96"/>
        <v>0</v>
      </c>
      <c r="H231" s="4">
        <f t="shared" si="96"/>
        <v>530.04999999999995</v>
      </c>
      <c r="I231" s="4">
        <f t="shared" si="96"/>
        <v>2966.3199999999997</v>
      </c>
      <c r="J231" s="4">
        <f t="shared" si="96"/>
        <v>240</v>
      </c>
      <c r="K231" s="4">
        <f t="shared" si="79"/>
        <v>3736.37</v>
      </c>
      <c r="L231" s="4">
        <f t="shared" si="80"/>
        <v>7375.68</v>
      </c>
      <c r="M231" s="4">
        <f t="shared" ref="M231:U231" si="97">((((((M224)+(M225))+(M226))+(M227))+(M228))+(M229))+(M230)</f>
        <v>35</v>
      </c>
      <c r="N231" s="4">
        <f t="shared" si="97"/>
        <v>593</v>
      </c>
      <c r="O231" s="4">
        <f t="shared" si="97"/>
        <v>135</v>
      </c>
      <c r="P231" s="4">
        <f t="shared" si="97"/>
        <v>728</v>
      </c>
      <c r="Q231" s="110">
        <f t="shared" si="97"/>
        <v>4367.3100000000004</v>
      </c>
      <c r="R231" s="4">
        <f t="shared" si="97"/>
        <v>60</v>
      </c>
      <c r="S231" s="4">
        <f t="shared" si="97"/>
        <v>60</v>
      </c>
      <c r="T231" s="4">
        <f t="shared" si="97"/>
        <v>60</v>
      </c>
      <c r="U231" s="4">
        <f t="shared" si="97"/>
        <v>120</v>
      </c>
      <c r="V231" s="4">
        <f>((((((V224)+(V225))+(V226))+(V227))+(V228))+(V229))+(V230)</f>
        <v>3856.37</v>
      </c>
      <c r="W231" s="4"/>
      <c r="X231" s="124">
        <f>((((((X224)+(X225))+(X226))+(X227))+(X228))+(X229))+(X230)</f>
        <v>8223.68</v>
      </c>
      <c r="Y231" s="124">
        <f t="shared" ref="Y231:AF231" si="98">((((((Y224)+(Y225))+(Y226))+(Y227))+(Y228))+(Y229))+(Y230)</f>
        <v>4740</v>
      </c>
      <c r="Z231" s="124">
        <f t="shared" si="98"/>
        <v>0</v>
      </c>
      <c r="AA231" s="124">
        <f t="shared" si="98"/>
        <v>4740</v>
      </c>
      <c r="AB231" s="124">
        <f t="shared" si="98"/>
        <v>-3483.6800000000003</v>
      </c>
      <c r="AC231" s="4"/>
      <c r="AD231" s="4">
        <f t="shared" si="98"/>
        <v>6850</v>
      </c>
      <c r="AE231" s="4">
        <f t="shared" si="98"/>
        <v>0</v>
      </c>
      <c r="AF231" s="124">
        <f t="shared" si="98"/>
        <v>6850</v>
      </c>
    </row>
    <row r="232" spans="2:32" ht="23.25" x14ac:dyDescent="0.25">
      <c r="B232" s="3" t="s">
        <v>81</v>
      </c>
      <c r="C232" s="5">
        <f>55.2</f>
        <v>55.2</v>
      </c>
      <c r="D232" s="2"/>
      <c r="E232" s="2"/>
      <c r="F232" s="2"/>
      <c r="G232" s="2"/>
      <c r="H232" s="2"/>
      <c r="I232" s="2"/>
      <c r="J232" s="2"/>
      <c r="K232" s="5">
        <f t="shared" si="79"/>
        <v>0</v>
      </c>
      <c r="L232" s="5">
        <f t="shared" si="80"/>
        <v>55.2</v>
      </c>
      <c r="M232" s="103"/>
      <c r="N232" s="103"/>
      <c r="O232" s="103"/>
      <c r="P232" s="167">
        <f t="shared" ref="P232:P235" si="99">SUM(N232:O232)</f>
        <v>0</v>
      </c>
      <c r="Q232" s="168">
        <f t="shared" ref="Q232:Q235" si="100">+P232+C232</f>
        <v>55.2</v>
      </c>
      <c r="R232" s="115"/>
      <c r="S232" s="115"/>
      <c r="T232" s="115"/>
      <c r="U232" s="121">
        <f t="shared" ref="U232:U235" si="101">SUM(S232:T232)</f>
        <v>0</v>
      </c>
      <c r="V232" s="121">
        <f t="shared" ref="V232:V235" si="102">+U232+K232</f>
        <v>0</v>
      </c>
      <c r="W232" s="121"/>
      <c r="X232" s="122">
        <f t="shared" si="95"/>
        <v>55.2</v>
      </c>
      <c r="Y232" s="122">
        <v>150</v>
      </c>
      <c r="Z232" s="122"/>
      <c r="AA232" s="122">
        <f t="shared" si="75"/>
        <v>150</v>
      </c>
      <c r="AB232" s="122">
        <f t="shared" si="76"/>
        <v>94.8</v>
      </c>
      <c r="AC232" s="121"/>
      <c r="AD232" s="121">
        <v>150</v>
      </c>
      <c r="AE232" s="121"/>
      <c r="AF232" s="83">
        <f t="shared" si="90"/>
        <v>150</v>
      </c>
    </row>
    <row r="233" spans="2:32" x14ac:dyDescent="0.25">
      <c r="B233" s="3" t="s">
        <v>211</v>
      </c>
      <c r="C233" s="5">
        <f>275.15</f>
        <v>275.14999999999998</v>
      </c>
      <c r="D233" s="2"/>
      <c r="E233" s="2"/>
      <c r="F233" s="2"/>
      <c r="G233" s="2"/>
      <c r="H233" s="2"/>
      <c r="I233" s="2"/>
      <c r="J233" s="2"/>
      <c r="K233" s="5">
        <f t="shared" si="79"/>
        <v>0</v>
      </c>
      <c r="L233" s="5">
        <f t="shared" si="80"/>
        <v>275.14999999999998</v>
      </c>
      <c r="M233" s="103"/>
      <c r="N233" s="103"/>
      <c r="O233" s="103"/>
      <c r="P233" s="167">
        <f t="shared" si="99"/>
        <v>0</v>
      </c>
      <c r="Q233" s="168">
        <f t="shared" si="100"/>
        <v>275.14999999999998</v>
      </c>
      <c r="R233" s="115"/>
      <c r="S233" s="115"/>
      <c r="T233" s="115"/>
      <c r="U233" s="121">
        <f t="shared" si="101"/>
        <v>0</v>
      </c>
      <c r="V233" s="121">
        <f t="shared" si="102"/>
        <v>0</v>
      </c>
      <c r="W233" s="121"/>
      <c r="X233" s="122">
        <f t="shared" si="95"/>
        <v>275.14999999999998</v>
      </c>
      <c r="Y233" s="122"/>
      <c r="Z233" s="122"/>
      <c r="AA233" s="122">
        <f t="shared" si="75"/>
        <v>0</v>
      </c>
      <c r="AB233" s="122">
        <f t="shared" si="76"/>
        <v>-275.14999999999998</v>
      </c>
      <c r="AC233" s="121"/>
      <c r="AD233" s="121">
        <v>250</v>
      </c>
      <c r="AE233" s="121"/>
      <c r="AF233" s="83">
        <f t="shared" si="90"/>
        <v>250</v>
      </c>
    </row>
    <row r="234" spans="2:32" x14ac:dyDescent="0.25">
      <c r="B234" s="3" t="s">
        <v>80</v>
      </c>
      <c r="C234" s="5">
        <f>2500</f>
        <v>2500</v>
      </c>
      <c r="D234" s="2"/>
      <c r="E234" s="2"/>
      <c r="F234" s="2"/>
      <c r="G234" s="2"/>
      <c r="H234" s="2"/>
      <c r="I234" s="2"/>
      <c r="J234" s="2"/>
      <c r="K234" s="5">
        <f t="shared" si="79"/>
        <v>0</v>
      </c>
      <c r="L234" s="5">
        <f t="shared" si="80"/>
        <v>2500</v>
      </c>
      <c r="M234" s="103"/>
      <c r="N234" s="103">
        <v>750</v>
      </c>
      <c r="O234" s="103"/>
      <c r="P234" s="167">
        <f t="shared" si="99"/>
        <v>750</v>
      </c>
      <c r="Q234" s="168">
        <f t="shared" si="100"/>
        <v>3250</v>
      </c>
      <c r="R234" s="115"/>
      <c r="S234" s="115"/>
      <c r="T234" s="115"/>
      <c r="U234" s="121">
        <f t="shared" si="101"/>
        <v>0</v>
      </c>
      <c r="V234" s="121">
        <f t="shared" si="102"/>
        <v>0</v>
      </c>
      <c r="W234" s="121"/>
      <c r="X234" s="122">
        <f t="shared" si="95"/>
        <v>3250</v>
      </c>
      <c r="Y234" s="122">
        <v>3500</v>
      </c>
      <c r="Z234" s="122"/>
      <c r="AA234" s="122">
        <f t="shared" si="75"/>
        <v>3500</v>
      </c>
      <c r="AB234" s="122">
        <f t="shared" si="76"/>
        <v>250</v>
      </c>
      <c r="AC234" s="121"/>
      <c r="AD234" s="121">
        <v>500</v>
      </c>
      <c r="AE234" s="121"/>
      <c r="AF234" s="83">
        <f t="shared" si="90"/>
        <v>500</v>
      </c>
    </row>
    <row r="235" spans="2:32" x14ac:dyDescent="0.25">
      <c r="B235" s="101" t="s">
        <v>79</v>
      </c>
      <c r="C235" s="5"/>
      <c r="D235" s="2"/>
      <c r="E235" s="2"/>
      <c r="F235" s="2"/>
      <c r="G235" s="2"/>
      <c r="H235" s="2"/>
      <c r="I235" s="2"/>
      <c r="J235" s="2"/>
      <c r="K235" s="5"/>
      <c r="L235" s="5"/>
      <c r="M235" s="104"/>
      <c r="N235" s="104"/>
      <c r="O235" s="104">
        <v>50</v>
      </c>
      <c r="P235" s="167">
        <f t="shared" si="99"/>
        <v>50</v>
      </c>
      <c r="Q235" s="168">
        <f t="shared" si="100"/>
        <v>50</v>
      </c>
      <c r="R235" s="173"/>
      <c r="S235" s="116"/>
      <c r="T235" s="171">
        <v>50</v>
      </c>
      <c r="U235" s="121">
        <f t="shared" si="101"/>
        <v>50</v>
      </c>
      <c r="V235" s="121">
        <f t="shared" si="102"/>
        <v>50</v>
      </c>
      <c r="W235" s="121"/>
      <c r="X235" s="123">
        <f t="shared" si="95"/>
        <v>100</v>
      </c>
      <c r="Y235" s="123">
        <v>150</v>
      </c>
      <c r="Z235" s="123"/>
      <c r="AA235" s="122">
        <f t="shared" si="75"/>
        <v>150</v>
      </c>
      <c r="AB235" s="122">
        <f t="shared" si="76"/>
        <v>50</v>
      </c>
      <c r="AC235" s="121"/>
      <c r="AD235" s="171">
        <v>200</v>
      </c>
      <c r="AE235" s="171"/>
      <c r="AF235" s="83">
        <f t="shared" si="90"/>
        <v>200</v>
      </c>
    </row>
    <row r="236" spans="2:32" ht="23.25" x14ac:dyDescent="0.25">
      <c r="B236" s="3" t="s">
        <v>77</v>
      </c>
      <c r="C236" s="4">
        <f>((C232)+(C233))+(C234)+C235</f>
        <v>2830.35</v>
      </c>
      <c r="D236" s="4">
        <f t="shared" ref="D236:J236" si="103">((D232)+(D233))+(D234)</f>
        <v>0</v>
      </c>
      <c r="E236" s="4">
        <f t="shared" si="103"/>
        <v>0</v>
      </c>
      <c r="F236" s="4">
        <f t="shared" si="103"/>
        <v>0</v>
      </c>
      <c r="G236" s="4">
        <f t="shared" si="103"/>
        <v>0</v>
      </c>
      <c r="H236" s="4">
        <f t="shared" si="103"/>
        <v>0</v>
      </c>
      <c r="I236" s="4">
        <f t="shared" si="103"/>
        <v>0</v>
      </c>
      <c r="J236" s="4">
        <f t="shared" si="103"/>
        <v>0</v>
      </c>
      <c r="K236" s="4">
        <f t="shared" si="79"/>
        <v>0</v>
      </c>
      <c r="L236" s="4">
        <f t="shared" si="80"/>
        <v>2830.35</v>
      </c>
      <c r="M236" s="4">
        <f t="shared" ref="M236:AB236" si="104">((M232)+(M233))+(M234)+M235</f>
        <v>0</v>
      </c>
      <c r="N236" s="4">
        <f t="shared" si="104"/>
        <v>750</v>
      </c>
      <c r="O236" s="4">
        <f t="shared" si="104"/>
        <v>50</v>
      </c>
      <c r="P236" s="4">
        <f t="shared" si="104"/>
        <v>800</v>
      </c>
      <c r="Q236" s="110">
        <f t="shared" si="104"/>
        <v>3630.35</v>
      </c>
      <c r="R236" s="4">
        <f t="shared" si="104"/>
        <v>0</v>
      </c>
      <c r="S236" s="4">
        <f t="shared" si="104"/>
        <v>0</v>
      </c>
      <c r="T236" s="4">
        <f t="shared" si="104"/>
        <v>50</v>
      </c>
      <c r="U236" s="4">
        <f t="shared" si="104"/>
        <v>50</v>
      </c>
      <c r="V236" s="4">
        <f t="shared" si="104"/>
        <v>50</v>
      </c>
      <c r="W236" s="107"/>
      <c r="X236" s="93">
        <f t="shared" si="104"/>
        <v>3680.35</v>
      </c>
      <c r="Y236" s="124">
        <f t="shared" si="104"/>
        <v>3800</v>
      </c>
      <c r="Z236" s="124">
        <f t="shared" si="104"/>
        <v>0</v>
      </c>
      <c r="AA236" s="124">
        <f t="shared" si="104"/>
        <v>3800</v>
      </c>
      <c r="AB236" s="124">
        <f t="shared" si="104"/>
        <v>119.65000000000003</v>
      </c>
      <c r="AC236" s="4"/>
      <c r="AD236" s="4">
        <f t="shared" ref="AD236:AF236" si="105">((AD232)+(AD233))+(AD234)+AD235</f>
        <v>1100</v>
      </c>
      <c r="AE236" s="4">
        <f t="shared" si="105"/>
        <v>0</v>
      </c>
      <c r="AF236" s="124">
        <f t="shared" si="105"/>
        <v>1100</v>
      </c>
    </row>
    <row r="237" spans="2:32" x14ac:dyDescent="0.25">
      <c r="B237" s="3" t="s">
        <v>212</v>
      </c>
      <c r="C237" s="2"/>
      <c r="D237" s="2"/>
      <c r="E237" s="2"/>
      <c r="F237" s="2"/>
      <c r="G237" s="2"/>
      <c r="H237" s="2"/>
      <c r="I237" s="2"/>
      <c r="J237" s="5">
        <f>9250</f>
        <v>9250</v>
      </c>
      <c r="K237" s="5">
        <f t="shared" si="79"/>
        <v>9250</v>
      </c>
      <c r="L237" s="5">
        <f t="shared" si="80"/>
        <v>9250</v>
      </c>
      <c r="M237" s="104"/>
      <c r="N237" s="104"/>
      <c r="O237" s="104"/>
      <c r="P237" s="104"/>
      <c r="Q237" s="112"/>
      <c r="R237" s="173"/>
      <c r="S237" s="116"/>
      <c r="T237" s="116"/>
      <c r="U237" s="121">
        <f t="shared" ref="U237" si="106">SUM(R237:T237)</f>
        <v>0</v>
      </c>
      <c r="V237" s="121">
        <f t="shared" ref="V237" si="107">+U237+K237</f>
        <v>9250</v>
      </c>
      <c r="W237" s="121"/>
      <c r="X237" s="122">
        <f t="shared" si="95"/>
        <v>9250</v>
      </c>
      <c r="Y237" s="123"/>
      <c r="Z237" s="123"/>
      <c r="AA237" s="123"/>
      <c r="AB237" s="122">
        <f t="shared" si="76"/>
        <v>-9250</v>
      </c>
      <c r="AC237" s="121"/>
      <c r="AD237" s="171"/>
      <c r="AE237" s="171"/>
      <c r="AF237" s="83"/>
    </row>
    <row r="238" spans="2:32" x14ac:dyDescent="0.25">
      <c r="B238" s="3" t="s">
        <v>76</v>
      </c>
      <c r="C238" s="4">
        <f t="shared" ref="C238:L238" si="108">(((((((((((((C196)+(C199))+(C200))+(C201))+(C203))+(C204))+(C205))+(C207))+(C214))+(C219))+(C223))+(C231))+(C236))+(C237)</f>
        <v>91698.67</v>
      </c>
      <c r="D238" s="4">
        <f t="shared" si="108"/>
        <v>0</v>
      </c>
      <c r="E238" s="4">
        <f t="shared" si="108"/>
        <v>0</v>
      </c>
      <c r="F238" s="4">
        <f t="shared" si="108"/>
        <v>0</v>
      </c>
      <c r="G238" s="4">
        <f t="shared" si="108"/>
        <v>0</v>
      </c>
      <c r="H238" s="4">
        <f t="shared" si="108"/>
        <v>780.05</v>
      </c>
      <c r="I238" s="4">
        <f t="shared" si="108"/>
        <v>84173.959999999992</v>
      </c>
      <c r="J238" s="4">
        <f t="shared" si="108"/>
        <v>27490</v>
      </c>
      <c r="K238" s="4">
        <f t="shared" si="108"/>
        <v>126444.00999999998</v>
      </c>
      <c r="L238" s="4">
        <f t="shared" si="108"/>
        <v>218142.68000000002</v>
      </c>
      <c r="M238" s="105">
        <f>+M236+M231+M223+M219+M214+M207+M205+M200+M204+M201+M197+M196+M206</f>
        <v>8146.2</v>
      </c>
      <c r="N238" s="105">
        <f>+N236+N231+N223+N219+N214+N207+N205+N200+N204+N201+N197+N196+N206</f>
        <v>12689.24</v>
      </c>
      <c r="O238" s="105">
        <f>+O236+O231+O223+O219+O214+O207+O205+O200+O204+O201+O197+O196+O206</f>
        <v>15795</v>
      </c>
      <c r="P238" s="105">
        <f>+P236+P231+P223+P219+P214+P207+P205+P200+P204+P201+P197+P196+P206</f>
        <v>28484.240000000002</v>
      </c>
      <c r="Q238" s="113">
        <f>+Q236+Q231+Q223+Q219+Q214+Q207+Q205+Q200+Q204+Q201+Q197+Q196+Q206</f>
        <v>120182.91</v>
      </c>
      <c r="R238" s="105">
        <f>+R236+R231+R223+R219+R214+R207+R205+R200+R204+R201+R197+R196+R206+R203+R199+R237</f>
        <v>15606.596000000001</v>
      </c>
      <c r="S238" s="105">
        <f t="shared" ref="S238:X238" si="109">+S236+S231+S223+S219+S214+S207+S205+S200+S204+S201+S197+S196+S206+S203+S199+S237</f>
        <v>7851.7960000000003</v>
      </c>
      <c r="T238" s="105">
        <f t="shared" si="109"/>
        <v>7901.7960000000003</v>
      </c>
      <c r="U238" s="105">
        <f t="shared" si="109"/>
        <v>15753.592000000001</v>
      </c>
      <c r="V238" s="105">
        <f t="shared" si="109"/>
        <v>142197.60199999998</v>
      </c>
      <c r="W238" s="105"/>
      <c r="X238" s="126">
        <f t="shared" si="109"/>
        <v>262380.51199999999</v>
      </c>
      <c r="Y238" s="126">
        <f>+Y236+Y231+Y223+Y219+Y214+Y207+Y205+Y200+Y204+Y201+Y197+Y196+Y206+Y203+Y199+Y237+Y202+Y208</f>
        <v>233415</v>
      </c>
      <c r="Z238" s="126">
        <f t="shared" ref="Z238" si="110">+Z236+Z231+Z223+Z219+Z214+Z207+Z205+Z200+Z204+Z201+Z197+Z196+Z206+Z203+Z199+Z237</f>
        <v>44400</v>
      </c>
      <c r="AA238" s="126">
        <f>+AA236+AA231+AA223+AA219+AA214+AA207+AA205+AA200+AA204+AA201+AA197+AA196+AA206+AA203+AA199+AA237+AA202+AA208</f>
        <v>277815</v>
      </c>
      <c r="AB238" s="126">
        <f>+AB236+AB231+AB223+AB219+AB214+AB207+AB205+AB200+AB204+AB201+AB197+AB196+AB206+AB203+AB199+AB237+AB202+AB208</f>
        <v>15434.487999999987</v>
      </c>
      <c r="AC238" s="105"/>
      <c r="AD238" s="105" t="e">
        <f>+AD236+AD231+AD223+AD219+AD214+AD207+AD205+AD200+AD204+AD201+AD197+AD196+AD206+AD203+AD199+AD237+AD198</f>
        <v>#REF!</v>
      </c>
      <c r="AE238" s="105" t="e">
        <f t="shared" ref="AE238" si="111">+AE236+AE231+AE223+AE219+AE214+AE207+AE205+AE200+AE204+AE201+AE197+AE196+AE206+AE203+AE199+AE237+AE198</f>
        <v>#REF!</v>
      </c>
      <c r="AF238" s="126" t="e">
        <f>+AF236+AF231+AF223+AF219+AF214+AF207+AF205+AF200+AF204+AF201+AF197+AF196+AF206+AF203+AF199+AF237+AF198+AF208</f>
        <v>#REF!</v>
      </c>
    </row>
    <row r="239" spans="2:32" x14ac:dyDescent="0.25">
      <c r="B239" s="3" t="s">
        <v>75</v>
      </c>
      <c r="C239" s="4">
        <f t="shared" ref="C239:J239" si="112">(C19)-(C238)</f>
        <v>-58365.27</v>
      </c>
      <c r="D239" s="4">
        <f t="shared" si="112"/>
        <v>0</v>
      </c>
      <c r="E239" s="4">
        <f t="shared" si="112"/>
        <v>0</v>
      </c>
      <c r="F239" s="4">
        <f t="shared" si="112"/>
        <v>0</v>
      </c>
      <c r="G239" s="4">
        <f t="shared" si="112"/>
        <v>122981.44</v>
      </c>
      <c r="H239" s="4">
        <f t="shared" si="112"/>
        <v>-240.04999999999995</v>
      </c>
      <c r="I239" s="4">
        <f t="shared" si="112"/>
        <v>-84173.959999999992</v>
      </c>
      <c r="J239" s="4">
        <f t="shared" si="112"/>
        <v>-27490</v>
      </c>
      <c r="K239" s="4">
        <f>+K19-K238</f>
        <v>33460.890000000014</v>
      </c>
      <c r="L239" s="4">
        <f>+L19-L238</f>
        <v>-0.38000000003376044</v>
      </c>
      <c r="M239" s="106">
        <f>+M19-M238</f>
        <v>-4812.8666666666668</v>
      </c>
      <c r="N239" s="106">
        <f t="shared" ref="N239:AA239" si="113">+N19-N238</f>
        <v>-9355.9066666666658</v>
      </c>
      <c r="O239" s="106">
        <f t="shared" si="113"/>
        <v>-12461.666666666666</v>
      </c>
      <c r="P239" s="106">
        <f t="shared" si="113"/>
        <v>-21817.573333333334</v>
      </c>
      <c r="Q239" s="114">
        <f t="shared" si="113"/>
        <v>-80182.843333333338</v>
      </c>
      <c r="R239" s="106">
        <f t="shared" si="113"/>
        <v>21776.863999999998</v>
      </c>
      <c r="S239" s="106">
        <f t="shared" si="113"/>
        <v>-5351.7960000000003</v>
      </c>
      <c r="T239" s="106">
        <f t="shared" si="113"/>
        <v>-6401.7960000000003</v>
      </c>
      <c r="U239" s="106">
        <f t="shared" si="113"/>
        <v>-11753.592000000001</v>
      </c>
      <c r="V239" s="106">
        <f t="shared" si="113"/>
        <v>21707.29800000001</v>
      </c>
      <c r="W239" s="106"/>
      <c r="X239" s="106">
        <f t="shared" si="113"/>
        <v>0.45466666668653488</v>
      </c>
      <c r="Y239" s="106">
        <f t="shared" si="113"/>
        <v>-46415</v>
      </c>
      <c r="Z239" s="106">
        <f t="shared" si="113"/>
        <v>-4400</v>
      </c>
      <c r="AA239" s="106">
        <f t="shared" si="113"/>
        <v>0</v>
      </c>
      <c r="AB239" s="127">
        <f>+AB19+AB238</f>
        <v>0.45466666664287914</v>
      </c>
      <c r="AC239" s="106"/>
      <c r="AD239" s="106" t="e">
        <f t="shared" ref="AD239:AF239" si="114">+AD19-AD238</f>
        <v>#REF!</v>
      </c>
      <c r="AE239" s="106" t="e">
        <f t="shared" si="114"/>
        <v>#REF!</v>
      </c>
      <c r="AF239" s="174" t="e">
        <f t="shared" si="114"/>
        <v>#REF!</v>
      </c>
    </row>
    <row r="240" spans="2:32" x14ac:dyDescent="0.25">
      <c r="B240" s="3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6"/>
      <c r="N240" s="106"/>
      <c r="O240" s="106"/>
      <c r="P240" s="106"/>
      <c r="Q240" s="106"/>
      <c r="R240" s="115"/>
      <c r="S240" s="115"/>
      <c r="T240" s="142">
        <f>+P239+U239</f>
        <v>-33571.165333333338</v>
      </c>
      <c r="U240" s="143">
        <f>+U239+P239</f>
        <v>-33571.165333333338</v>
      </c>
      <c r="V240" s="115"/>
      <c r="W240" s="115"/>
      <c r="X240" s="142">
        <f>+V239+Q239+L239</f>
        <v>-58475.925333333362</v>
      </c>
      <c r="Y240" s="121"/>
      <c r="Z240" s="121"/>
      <c r="AA240" s="121"/>
      <c r="AB240" s="121"/>
      <c r="AC240" s="121"/>
      <c r="AD240" s="121"/>
      <c r="AE240" s="121"/>
      <c r="AF240" s="83"/>
    </row>
    <row r="241" spans="2:32" x14ac:dyDescent="0.25">
      <c r="B241" s="3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6"/>
      <c r="N241" s="106"/>
      <c r="O241" s="106"/>
      <c r="P241" s="106"/>
      <c r="Q241" s="106">
        <v>120000</v>
      </c>
      <c r="R241" s="115"/>
      <c r="S241" s="115"/>
      <c r="T241" s="115"/>
      <c r="U241" s="142">
        <f>+L239+P239+U239</f>
        <v>-33571.545333333372</v>
      </c>
      <c r="V241" s="142">
        <f>+L239+Q239+V239</f>
        <v>-58475.925333333362</v>
      </c>
      <c r="W241" s="142"/>
      <c r="X241" s="115"/>
      <c r="Y241" s="121"/>
      <c r="Z241" s="121"/>
      <c r="AA241" s="121"/>
      <c r="AB241" s="121"/>
      <c r="AC241" s="121"/>
      <c r="AD241" s="121">
        <v>22000</v>
      </c>
      <c r="AE241" s="121" t="s">
        <v>249</v>
      </c>
      <c r="AF241" s="83"/>
    </row>
    <row r="242" spans="2:32" x14ac:dyDescent="0.25">
      <c r="B242" s="3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6"/>
      <c r="N242" s="106"/>
      <c r="O242" s="106"/>
      <c r="P242" s="106"/>
      <c r="Q242" s="106">
        <f>+Q238-Q241</f>
        <v>182.91000000000349</v>
      </c>
      <c r="R242" s="115"/>
      <c r="S242" s="115"/>
      <c r="T242" s="115"/>
      <c r="U242" s="115"/>
      <c r="V242" s="115"/>
      <c r="W242" s="115"/>
      <c r="X242" s="142">
        <f>+X15</f>
        <v>58476</v>
      </c>
      <c r="Y242" s="121"/>
      <c r="Z242" s="121"/>
      <c r="AA242" s="121"/>
      <c r="AB242" s="121"/>
      <c r="AC242" s="121"/>
      <c r="AD242" s="121"/>
      <c r="AE242" s="121"/>
      <c r="AF242" s="83"/>
    </row>
    <row r="243" spans="2:32" x14ac:dyDescent="0.25">
      <c r="B243" s="3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6"/>
      <c r="N243" s="106"/>
      <c r="O243" s="106"/>
      <c r="P243" s="106"/>
      <c r="Q243" s="106"/>
      <c r="R243" s="115"/>
      <c r="S243" s="115"/>
      <c r="T243" s="115"/>
      <c r="U243" s="115"/>
      <c r="V243" s="115"/>
      <c r="W243" s="115"/>
      <c r="X243" s="115"/>
      <c r="Y243" s="121"/>
      <c r="Z243" s="121"/>
      <c r="AA243" s="121"/>
      <c r="AB243" s="121"/>
      <c r="AC243" s="121"/>
      <c r="AD243" s="121"/>
      <c r="AE243" s="121"/>
      <c r="AF243" s="83"/>
    </row>
    <row r="244" spans="2:32" x14ac:dyDescent="0.25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2:32" x14ac:dyDescent="0.25">
      <c r="B245" s="271" t="s">
        <v>234</v>
      </c>
      <c r="C245" s="271"/>
      <c r="D245" s="271"/>
      <c r="E245" s="271"/>
      <c r="F245" s="271"/>
      <c r="G245" s="271"/>
      <c r="H245" s="271"/>
      <c r="I245" s="271"/>
      <c r="J245" s="271"/>
      <c r="K245" s="271"/>
      <c r="L245" s="271"/>
    </row>
    <row r="247" spans="2:32" x14ac:dyDescent="0.25">
      <c r="B247" s="275" t="s">
        <v>235</v>
      </c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</row>
  </sheetData>
  <mergeCells count="7">
    <mergeCell ref="B2:AB2"/>
    <mergeCell ref="B1:AB1"/>
    <mergeCell ref="B245:L245"/>
    <mergeCell ref="B247:L247"/>
    <mergeCell ref="N4:V4"/>
    <mergeCell ref="B3:L3"/>
    <mergeCell ref="L5:AB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2"/>
  <sheetViews>
    <sheetView workbookViewId="0">
      <selection activeCell="F19" sqref="F19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269" t="s">
        <v>59</v>
      </c>
      <c r="B1" s="268"/>
      <c r="C1" s="268"/>
      <c r="D1" s="268"/>
      <c r="E1" s="268"/>
      <c r="F1" s="268"/>
      <c r="G1" s="268"/>
    </row>
    <row r="2" spans="1:7" ht="18" x14ac:dyDescent="0.25">
      <c r="A2" s="269" t="s">
        <v>134</v>
      </c>
      <c r="B2" s="268"/>
      <c r="C2" s="268"/>
      <c r="D2" s="268"/>
      <c r="E2" s="268"/>
      <c r="F2" s="268"/>
      <c r="G2" s="268"/>
    </row>
    <row r="3" spans="1:7" x14ac:dyDescent="0.25">
      <c r="A3" s="270" t="s">
        <v>233</v>
      </c>
      <c r="B3" s="268"/>
      <c r="C3" s="268"/>
      <c r="D3" s="268"/>
      <c r="E3" s="268"/>
      <c r="F3" s="268"/>
      <c r="G3" s="268"/>
    </row>
    <row r="5" spans="1:7" x14ac:dyDescent="0.25">
      <c r="A5" s="1"/>
      <c r="B5" s="94" t="s">
        <v>133</v>
      </c>
      <c r="C5" s="94" t="s">
        <v>132</v>
      </c>
      <c r="D5" s="94" t="s">
        <v>131</v>
      </c>
      <c r="E5" s="94" t="s">
        <v>130</v>
      </c>
      <c r="F5" s="94" t="s">
        <v>129</v>
      </c>
      <c r="G5" s="94" t="s">
        <v>0</v>
      </c>
    </row>
    <row r="6" spans="1:7" x14ac:dyDescent="0.25">
      <c r="A6" s="3" t="s">
        <v>221</v>
      </c>
      <c r="B6" s="5">
        <f>220</f>
        <v>220</v>
      </c>
      <c r="C6" s="2"/>
      <c r="D6" s="2"/>
      <c r="E6" s="2"/>
      <c r="F6" s="2"/>
      <c r="G6" s="5">
        <f>((((B6)+(C6))+(D6))+(E6))+(F6)</f>
        <v>220</v>
      </c>
    </row>
    <row r="7" spans="1:7" x14ac:dyDescent="0.25">
      <c r="A7" s="3" t="s">
        <v>228</v>
      </c>
      <c r="B7" s="5">
        <f>2200</f>
        <v>2200</v>
      </c>
      <c r="C7" s="2"/>
      <c r="D7" s="2"/>
      <c r="E7" s="2"/>
      <c r="F7" s="2"/>
      <c r="G7" s="5">
        <f>((((B7)+(C7))+(D7))+(E7))+(F7)</f>
        <v>2200</v>
      </c>
    </row>
    <row r="8" spans="1:7" x14ac:dyDescent="0.25">
      <c r="A8" s="3" t="s">
        <v>128</v>
      </c>
      <c r="B8" s="4">
        <f>(B6)+(B7)</f>
        <v>2420</v>
      </c>
      <c r="C8" s="4">
        <f>(C6)+(C7)</f>
        <v>0</v>
      </c>
      <c r="D8" s="4">
        <f>(D6)+(D7)</f>
        <v>0</v>
      </c>
      <c r="E8" s="4">
        <f>(E6)+(E7)</f>
        <v>0</v>
      </c>
      <c r="F8" s="4">
        <f>(F6)+(F7)</f>
        <v>0</v>
      </c>
      <c r="G8" s="4">
        <f>((((B8)+(C8))+(D8))+(E8))+(F8)</f>
        <v>2420</v>
      </c>
    </row>
    <row r="9" spans="1:7" x14ac:dyDescent="0.25">
      <c r="A9" s="3"/>
      <c r="B9" s="2"/>
      <c r="C9" s="2"/>
      <c r="D9" s="2"/>
      <c r="E9" s="2"/>
      <c r="F9" s="2"/>
      <c r="G9" s="2"/>
    </row>
    <row r="12" spans="1:7" x14ac:dyDescent="0.25">
      <c r="A12" s="275" t="s">
        <v>236</v>
      </c>
      <c r="B12" s="268"/>
      <c r="C12" s="268"/>
      <c r="D12" s="268"/>
      <c r="E12" s="268"/>
      <c r="F12" s="268"/>
      <c r="G12" s="268"/>
    </row>
  </sheetData>
  <mergeCells count="4">
    <mergeCell ref="A1:G1"/>
    <mergeCell ref="A2:G2"/>
    <mergeCell ref="A3:G3"/>
    <mergeCell ref="A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1"/>
  <sheetViews>
    <sheetView workbookViewId="0">
      <selection activeCell="E19" sqref="E19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269" t="s">
        <v>59</v>
      </c>
      <c r="B1" s="268"/>
      <c r="C1" s="268"/>
      <c r="D1" s="268"/>
      <c r="E1" s="268"/>
      <c r="F1" s="268"/>
      <c r="G1" s="268"/>
    </row>
    <row r="2" spans="1:7" ht="18" x14ac:dyDescent="0.25">
      <c r="A2" s="269" t="s">
        <v>225</v>
      </c>
      <c r="B2" s="268"/>
      <c r="C2" s="268"/>
      <c r="D2" s="268"/>
      <c r="E2" s="268"/>
      <c r="F2" s="268"/>
      <c r="G2" s="268"/>
    </row>
    <row r="3" spans="1:7" x14ac:dyDescent="0.25">
      <c r="A3" s="270" t="s">
        <v>233</v>
      </c>
      <c r="B3" s="268"/>
      <c r="C3" s="268"/>
      <c r="D3" s="268"/>
      <c r="E3" s="268"/>
      <c r="F3" s="268"/>
      <c r="G3" s="268"/>
    </row>
    <row r="5" spans="1:7" x14ac:dyDescent="0.25">
      <c r="A5" s="1"/>
      <c r="B5" s="94" t="s">
        <v>133</v>
      </c>
      <c r="C5" s="94" t="s">
        <v>132</v>
      </c>
      <c r="D5" s="94" t="s">
        <v>131</v>
      </c>
      <c r="E5" s="94" t="s">
        <v>130</v>
      </c>
      <c r="F5" s="94" t="s">
        <v>129</v>
      </c>
      <c r="G5" s="94" t="s">
        <v>0</v>
      </c>
    </row>
    <row r="6" spans="1:7" x14ac:dyDescent="0.25">
      <c r="A6" s="3" t="s">
        <v>232</v>
      </c>
      <c r="B6" s="5">
        <f>3333.34</f>
        <v>3333.34</v>
      </c>
      <c r="C6" s="5">
        <f>6666.68</f>
        <v>6666.68</v>
      </c>
      <c r="D6" s="5">
        <f>3333.34</f>
        <v>3333.34</v>
      </c>
      <c r="E6" s="2"/>
      <c r="F6" s="5">
        <f>16666.7</f>
        <v>16666.7</v>
      </c>
      <c r="G6" s="5">
        <f>((((B6)+(C6))+(D6))+(E6))+(F6)</f>
        <v>30000.06</v>
      </c>
    </row>
    <row r="7" spans="1:7" x14ac:dyDescent="0.25">
      <c r="A7" s="3" t="s">
        <v>128</v>
      </c>
      <c r="B7" s="4">
        <f>B6</f>
        <v>3333.34</v>
      </c>
      <c r="C7" s="4">
        <f>C6</f>
        <v>6666.68</v>
      </c>
      <c r="D7" s="4">
        <f>D6</f>
        <v>3333.34</v>
      </c>
      <c r="E7" s="4">
        <f>E6</f>
        <v>0</v>
      </c>
      <c r="F7" s="4">
        <f>F6</f>
        <v>16666.7</v>
      </c>
      <c r="G7" s="4">
        <f>((((B7)+(C7))+(D7))+(E7))+(F7)</f>
        <v>30000.06</v>
      </c>
    </row>
    <row r="8" spans="1:7" x14ac:dyDescent="0.25">
      <c r="A8" s="3"/>
      <c r="B8" s="2"/>
      <c r="C8" s="2"/>
      <c r="D8" s="2"/>
      <c r="E8" s="2"/>
      <c r="F8" s="2"/>
      <c r="G8" s="2"/>
    </row>
    <row r="11" spans="1:7" x14ac:dyDescent="0.25">
      <c r="A11" s="275" t="s">
        <v>237</v>
      </c>
      <c r="B11" s="268"/>
      <c r="C11" s="268"/>
      <c r="D11" s="268"/>
      <c r="E11" s="268"/>
      <c r="F11" s="268"/>
      <c r="G11" s="268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0336C-EA37-431A-A293-43D247617707}"/>
</file>

<file path=customXml/itemProps2.xml><?xml version="1.0" encoding="utf-8"?>
<ds:datastoreItem xmlns:ds="http://schemas.openxmlformats.org/officeDocument/2006/customXml" ds:itemID="{74603A30-4F92-4A59-80C1-EBBAD0D7D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Summary Table</vt:lpstr>
      <vt:lpstr>Funds and Assets</vt:lpstr>
      <vt:lpstr>Statement of Financial Position</vt:lpstr>
      <vt:lpstr>Budget vs. Actuals</vt:lpstr>
      <vt:lpstr>SUMMARY</vt:lpstr>
      <vt:lpstr>A P Aging Summary</vt:lpstr>
      <vt:lpstr>AR Aging</vt:lpstr>
      <vt:lpstr>SUMMARY!Print_Area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2023-05-30T21:10:03Z</dcterms:modified>
</cp:coreProperties>
</file>