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kalstein\Jewish Community Foundation\Admin\Budget\Fiscal 2023\2023.05.22 Apr operations w Apr investment May BD meeting\"/>
    </mc:Choice>
  </mc:AlternateContent>
  <xr:revisionPtr revIDLastSave="0" documentId="13_ncr:1_{074088F6-A87E-4C54-AC80-8C7FEFA059CB}" xr6:coauthVersionLast="47" xr6:coauthVersionMax="47" xr10:uidLastSave="{00000000-0000-0000-0000-000000000000}"/>
  <bookViews>
    <workbookView xWindow="20370" yWindow="-2130" windowWidth="21840" windowHeight="13140" firstSheet="3" activeTab="4" xr2:uid="{00000000-000D-0000-FFFF-FFFF00000000}"/>
  </bookViews>
  <sheets>
    <sheet name="Summary Table" sheetId="6" r:id="rId1"/>
    <sheet name="Funds and Assets" sheetId="5" r:id="rId2"/>
    <sheet name="Statement of Financial Position" sheetId="1" r:id="rId3"/>
    <sheet name="Budget vs. Actuals" sheetId="2" r:id="rId4"/>
    <sheet name="SUMMARY" sheetId="11" r:id="rId5"/>
    <sheet name="A P Aging Summary" sheetId="4" r:id="rId6"/>
    <sheet name="AR Aging" sheetId="9" r:id="rId7"/>
  </sheets>
  <externalReferences>
    <externalReference r:id="rId8"/>
    <externalReference r:id="rId9"/>
  </externalReferences>
  <definedNames>
    <definedName name="_xlnm.Print_Area" localSheetId="3">'Budget vs. Actuals'!#REF!</definedName>
    <definedName name="_xlnm.Print_Area" localSheetId="4">SUMMARY!$B$5:$AF$32</definedName>
    <definedName name="_xlnm.Print_Titles" localSheetId="3">'Budget vs. Actuals'!$A:$E,'Budget vs. Actuals'!$4:$6</definedName>
  </definedNames>
  <calcPr calcId="191029"/>
  <pivotCaches>
    <pivotCache cacheId="15" r:id="rId10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58" i="11" l="1"/>
  <c r="AG41" i="11"/>
  <c r="AL27" i="11"/>
  <c r="AM27" i="11" s="1"/>
  <c r="AR27" i="11"/>
  <c r="AR28" i="11"/>
  <c r="AL28" i="11"/>
  <c r="AM28" i="11" s="1"/>
  <c r="AL29" i="11"/>
  <c r="AM29" i="11" s="1"/>
  <c r="K9" i="11"/>
  <c r="L9" i="11" s="1"/>
  <c r="P9" i="11"/>
  <c r="I54" i="6"/>
  <c r="I55" i="6"/>
  <c r="AR30" i="11" l="1"/>
  <c r="AR32" i="11"/>
  <c r="AR33" i="11" s="1"/>
  <c r="AM30" i="11"/>
  <c r="AE24" i="11"/>
  <c r="AE23" i="11"/>
  <c r="AD23" i="11"/>
  <c r="AE22" i="11"/>
  <c r="AD22" i="11"/>
  <c r="X242" i="11" l="1"/>
  <c r="U237" i="11"/>
  <c r="J237" i="11"/>
  <c r="K237" i="11" s="1"/>
  <c r="L237" i="11" s="1"/>
  <c r="AE236" i="11"/>
  <c r="AD236" i="11"/>
  <c r="Z236" i="11"/>
  <c r="Y236" i="11"/>
  <c r="T236" i="11"/>
  <c r="S236" i="11"/>
  <c r="R236" i="11"/>
  <c r="O236" i="11"/>
  <c r="N236" i="11"/>
  <c r="M236" i="11"/>
  <c r="J236" i="11"/>
  <c r="I236" i="11"/>
  <c r="H236" i="11"/>
  <c r="G236" i="11"/>
  <c r="F236" i="11"/>
  <c r="E236" i="11"/>
  <c r="D236" i="11"/>
  <c r="AF235" i="11"/>
  <c r="AA235" i="11"/>
  <c r="U235" i="11"/>
  <c r="V235" i="11" s="1"/>
  <c r="P235" i="11"/>
  <c r="Q235" i="11" s="1"/>
  <c r="AF234" i="11"/>
  <c r="AA234" i="11"/>
  <c r="U234" i="11"/>
  <c r="P234" i="11"/>
  <c r="K234" i="11"/>
  <c r="C234" i="11"/>
  <c r="AF233" i="11"/>
  <c r="AA233" i="11"/>
  <c r="U233" i="11"/>
  <c r="P233" i="11"/>
  <c r="K233" i="11"/>
  <c r="C233" i="11"/>
  <c r="AF232" i="11"/>
  <c r="AA232" i="11"/>
  <c r="U232" i="11"/>
  <c r="P232" i="11"/>
  <c r="K232" i="11"/>
  <c r="C232" i="11"/>
  <c r="AE231" i="11"/>
  <c r="AE27" i="11" s="1"/>
  <c r="AD231" i="11"/>
  <c r="AD27" i="11" s="1"/>
  <c r="Z231" i="11"/>
  <c r="Y231" i="11"/>
  <c r="T231" i="11"/>
  <c r="S231" i="11"/>
  <c r="S27" i="11" s="1"/>
  <c r="R231" i="11"/>
  <c r="O231" i="11"/>
  <c r="O27" i="11" s="1"/>
  <c r="N231" i="11"/>
  <c r="M231" i="11"/>
  <c r="G231" i="11"/>
  <c r="G27" i="11" s="1"/>
  <c r="F231" i="11"/>
  <c r="F27" i="11" s="1"/>
  <c r="E231" i="11"/>
  <c r="E27" i="11" s="1"/>
  <c r="D231" i="11"/>
  <c r="D27" i="11" s="1"/>
  <c r="AF230" i="11"/>
  <c r="AA230" i="11"/>
  <c r="U230" i="11"/>
  <c r="P230" i="11"/>
  <c r="I230" i="11"/>
  <c r="K230" i="11" s="1"/>
  <c r="C230" i="11"/>
  <c r="AF229" i="11"/>
  <c r="AA229" i="11"/>
  <c r="U229" i="11"/>
  <c r="P229" i="11"/>
  <c r="Q229" i="11" s="1"/>
  <c r="I229" i="11"/>
  <c r="K229" i="11" s="1"/>
  <c r="L229" i="11" s="1"/>
  <c r="AF228" i="11"/>
  <c r="AA228" i="11"/>
  <c r="U228" i="11"/>
  <c r="P228" i="11"/>
  <c r="I228" i="11"/>
  <c r="H228" i="11"/>
  <c r="C228" i="11"/>
  <c r="AF227" i="11"/>
  <c r="AA227" i="11"/>
  <c r="U227" i="11"/>
  <c r="P227" i="11"/>
  <c r="I227" i="11"/>
  <c r="K227" i="11" s="1"/>
  <c r="C227" i="11"/>
  <c r="AF226" i="11"/>
  <c r="AA226" i="11"/>
  <c r="U226" i="11"/>
  <c r="P226" i="11"/>
  <c r="J226" i="11"/>
  <c r="J231" i="11" s="1"/>
  <c r="J27" i="11" s="1"/>
  <c r="C226" i="11"/>
  <c r="AF225" i="11"/>
  <c r="AA225" i="11"/>
  <c r="U225" i="11"/>
  <c r="P225" i="11"/>
  <c r="I225" i="11"/>
  <c r="H225" i="11"/>
  <c r="C225" i="11"/>
  <c r="AF224" i="11"/>
  <c r="AA224" i="11"/>
  <c r="I224" i="11"/>
  <c r="AE223" i="11"/>
  <c r="AD223" i="11"/>
  <c r="Z223" i="11"/>
  <c r="Y223" i="11"/>
  <c r="T223" i="11"/>
  <c r="S223" i="11"/>
  <c r="R223" i="11"/>
  <c r="O223" i="11"/>
  <c r="N223" i="11"/>
  <c r="M223" i="11"/>
  <c r="H223" i="11"/>
  <c r="G223" i="11"/>
  <c r="F223" i="11"/>
  <c r="E223" i="11"/>
  <c r="D223" i="11"/>
  <c r="AF222" i="11"/>
  <c r="AF223" i="11" s="1"/>
  <c r="AA222" i="11"/>
  <c r="U222" i="11"/>
  <c r="I222" i="11"/>
  <c r="K222" i="11" s="1"/>
  <c r="C222" i="11"/>
  <c r="C223" i="11" s="1"/>
  <c r="AA221" i="11"/>
  <c r="U221" i="11"/>
  <c r="Q221" i="11"/>
  <c r="J221" i="11"/>
  <c r="AA220" i="11"/>
  <c r="U220" i="11"/>
  <c r="P220" i="11"/>
  <c r="P223" i="11" s="1"/>
  <c r="K220" i="11"/>
  <c r="L220" i="11" s="1"/>
  <c r="AE219" i="11"/>
  <c r="AE26" i="11" s="1"/>
  <c r="Z219" i="11"/>
  <c r="Y219" i="11"/>
  <c r="T219" i="11"/>
  <c r="T26" i="11" s="1"/>
  <c r="S219" i="11"/>
  <c r="R219" i="11"/>
  <c r="O219" i="11"/>
  <c r="O26" i="11" s="1"/>
  <c r="N219" i="11"/>
  <c r="N26" i="11" s="1"/>
  <c r="M219" i="11"/>
  <c r="J219" i="11"/>
  <c r="J26" i="11" s="1"/>
  <c r="H219" i="11"/>
  <c r="H26" i="11" s="1"/>
  <c r="G219" i="11"/>
  <c r="G26" i="11" s="1"/>
  <c r="F219" i="11"/>
  <c r="E219" i="11"/>
  <c r="E26" i="11" s="1"/>
  <c r="D219" i="11"/>
  <c r="AF218" i="11"/>
  <c r="AA218" i="11"/>
  <c r="AB218" i="11" s="1"/>
  <c r="AF217" i="11"/>
  <c r="AA217" i="11"/>
  <c r="U217" i="11"/>
  <c r="Q217" i="11"/>
  <c r="I217" i="11"/>
  <c r="K217" i="11" s="1"/>
  <c r="L217" i="11" s="1"/>
  <c r="AD216" i="11"/>
  <c r="AD219" i="11" s="1"/>
  <c r="AD26" i="11" s="1"/>
  <c r="AA216" i="11"/>
  <c r="U216" i="11"/>
  <c r="P216" i="11"/>
  <c r="P219" i="11" s="1"/>
  <c r="I216" i="11"/>
  <c r="C216" i="11"/>
  <c r="C219" i="11" s="1"/>
  <c r="C26" i="11" s="1"/>
  <c r="K215" i="11"/>
  <c r="L215" i="11" s="1"/>
  <c r="J214" i="11"/>
  <c r="J25" i="11" s="1"/>
  <c r="H214" i="11"/>
  <c r="H25" i="11" s="1"/>
  <c r="G214" i="11"/>
  <c r="F214" i="11"/>
  <c r="E214" i="11"/>
  <c r="D214" i="11"/>
  <c r="D25" i="11" s="1"/>
  <c r="Z213" i="11"/>
  <c r="Z214" i="11" s="1"/>
  <c r="Y213" i="11"/>
  <c r="T213" i="11"/>
  <c r="T214" i="11" s="1"/>
  <c r="T25" i="11" s="1"/>
  <c r="S213" i="11"/>
  <c r="S214" i="11" s="1"/>
  <c r="R213" i="11"/>
  <c r="R214" i="11" s="1"/>
  <c r="O213" i="11"/>
  <c r="O214" i="11" s="1"/>
  <c r="O25" i="11" s="1"/>
  <c r="N213" i="11"/>
  <c r="M213" i="11"/>
  <c r="M214" i="11" s="1"/>
  <c r="I213" i="11"/>
  <c r="K213" i="11" s="1"/>
  <c r="C213" i="11"/>
  <c r="AF212" i="11"/>
  <c r="AA212" i="11"/>
  <c r="U212" i="11"/>
  <c r="P212" i="11"/>
  <c r="Q212" i="11" s="1"/>
  <c r="I212" i="11"/>
  <c r="K212" i="11" s="1"/>
  <c r="L212" i="11" s="1"/>
  <c r="AE211" i="11"/>
  <c r="AD211" i="11"/>
  <c r="AA211" i="11"/>
  <c r="U211" i="11"/>
  <c r="P211" i="11"/>
  <c r="I211" i="11"/>
  <c r="C211" i="11"/>
  <c r="AF210" i="11"/>
  <c r="AA210" i="11"/>
  <c r="U210" i="11"/>
  <c r="P210" i="11"/>
  <c r="K210" i="11"/>
  <c r="C210" i="11"/>
  <c r="AF209" i="11"/>
  <c r="AA209" i="11"/>
  <c r="U209" i="11"/>
  <c r="P209" i="11"/>
  <c r="Q209" i="11" s="1"/>
  <c r="K209" i="11"/>
  <c r="L209" i="11" s="1"/>
  <c r="AF208" i="11"/>
  <c r="AA208" i="11"/>
  <c r="AB208" i="11" s="1"/>
  <c r="U208" i="11"/>
  <c r="P208" i="11"/>
  <c r="AD207" i="11"/>
  <c r="AF207" i="11" s="1"/>
  <c r="AA207" i="11"/>
  <c r="U207" i="11"/>
  <c r="P207" i="11"/>
  <c r="K207" i="11"/>
  <c r="C207" i="11"/>
  <c r="L207" i="11" s="1"/>
  <c r="AF206" i="11"/>
  <c r="AA206" i="11"/>
  <c r="U206" i="11"/>
  <c r="V206" i="11" s="1"/>
  <c r="P206" i="11"/>
  <c r="Q206" i="11" s="1"/>
  <c r="AD205" i="11"/>
  <c r="AA205" i="11"/>
  <c r="AA24" i="11" s="1"/>
  <c r="U205" i="11"/>
  <c r="P205" i="11"/>
  <c r="J205" i="11"/>
  <c r="J24" i="11" s="1"/>
  <c r="C205" i="11"/>
  <c r="AF204" i="11"/>
  <c r="AA204" i="11"/>
  <c r="U204" i="11"/>
  <c r="P204" i="11"/>
  <c r="H204" i="11"/>
  <c r="K204" i="11" s="1"/>
  <c r="C204" i="11"/>
  <c r="AF203" i="11"/>
  <c r="AA203" i="11"/>
  <c r="U203" i="11"/>
  <c r="P203" i="11"/>
  <c r="Q203" i="11" s="1"/>
  <c r="I203" i="11"/>
  <c r="K203" i="11" s="1"/>
  <c r="L203" i="11" s="1"/>
  <c r="AF202" i="11"/>
  <c r="AA202" i="11"/>
  <c r="AB202" i="11" s="1"/>
  <c r="U202" i="11"/>
  <c r="P202" i="11"/>
  <c r="AD201" i="11"/>
  <c r="AA201" i="11"/>
  <c r="U201" i="11"/>
  <c r="P201" i="11"/>
  <c r="K201" i="11"/>
  <c r="C201" i="11"/>
  <c r="AF200" i="11"/>
  <c r="AA200" i="11"/>
  <c r="U200" i="11"/>
  <c r="P200" i="11"/>
  <c r="Q200" i="11" s="1"/>
  <c r="I200" i="11"/>
  <c r="K200" i="11" s="1"/>
  <c r="L200" i="11" s="1"/>
  <c r="AF199" i="11"/>
  <c r="AA199" i="11"/>
  <c r="U199" i="11"/>
  <c r="P199" i="11"/>
  <c r="Q199" i="11" s="1"/>
  <c r="I199" i="11"/>
  <c r="AF198" i="11"/>
  <c r="AF23" i="11" s="1"/>
  <c r="U198" i="11"/>
  <c r="P198" i="11"/>
  <c r="AF197" i="11"/>
  <c r="AA197" i="11"/>
  <c r="U197" i="11"/>
  <c r="V197" i="11" s="1"/>
  <c r="O197" i="11"/>
  <c r="P197" i="11" s="1"/>
  <c r="Q197" i="11" s="1"/>
  <c r="AE196" i="11"/>
  <c r="AE28" i="11" s="1"/>
  <c r="AA196" i="11"/>
  <c r="U196" i="11"/>
  <c r="P196" i="11"/>
  <c r="K196" i="11"/>
  <c r="C196" i="11"/>
  <c r="Z28" i="11"/>
  <c r="Y28" i="11"/>
  <c r="T28" i="11"/>
  <c r="S28" i="11"/>
  <c r="O28" i="11"/>
  <c r="N28" i="11"/>
  <c r="N27" i="11"/>
  <c r="S26" i="11"/>
  <c r="F26" i="11"/>
  <c r="D26" i="11"/>
  <c r="S25" i="11"/>
  <c r="Z24" i="11"/>
  <c r="Y24" i="11"/>
  <c r="T24" i="11"/>
  <c r="S24" i="11"/>
  <c r="O24" i="11"/>
  <c r="N24" i="11"/>
  <c r="I24" i="11"/>
  <c r="H24" i="11"/>
  <c r="G24" i="11"/>
  <c r="F24" i="11"/>
  <c r="E24" i="11"/>
  <c r="D24" i="11"/>
  <c r="AB23" i="11"/>
  <c r="V23" i="11"/>
  <c r="P23" i="11"/>
  <c r="L23" i="11"/>
  <c r="T22" i="11"/>
  <c r="S22" i="11"/>
  <c r="N22" i="11"/>
  <c r="K22" i="11"/>
  <c r="J22" i="11"/>
  <c r="I22" i="11"/>
  <c r="H22" i="11"/>
  <c r="G22" i="11"/>
  <c r="F22" i="11"/>
  <c r="E22" i="11"/>
  <c r="D22" i="11"/>
  <c r="C22" i="11"/>
  <c r="U17" i="11"/>
  <c r="W17" i="11" s="1"/>
  <c r="G17" i="11"/>
  <c r="K17" i="11" s="1"/>
  <c r="L17" i="11" s="1"/>
  <c r="AF14" i="11"/>
  <c r="AA14" i="11"/>
  <c r="P14" i="11"/>
  <c r="W14" i="11" s="1"/>
  <c r="K14" i="11"/>
  <c r="C14" i="11"/>
  <c r="AE13" i="11"/>
  <c r="AE16" i="11" s="1"/>
  <c r="AE18" i="11" s="1"/>
  <c r="AE19" i="11" s="1"/>
  <c r="AD13" i="11"/>
  <c r="AD16" i="11" s="1"/>
  <c r="AD18" i="11" s="1"/>
  <c r="AD19" i="11" s="1"/>
  <c r="Z13" i="11"/>
  <c r="Z16" i="11" s="1"/>
  <c r="Z18" i="11" s="1"/>
  <c r="Z19" i="11" s="1"/>
  <c r="Y13" i="11"/>
  <c r="Y16" i="11" s="1"/>
  <c r="Y18" i="11" s="1"/>
  <c r="Y19" i="11" s="1"/>
  <c r="T13" i="11"/>
  <c r="T16" i="11" s="1"/>
  <c r="S13" i="11"/>
  <c r="S16" i="11" s="1"/>
  <c r="R13" i="11"/>
  <c r="R16" i="11" s="1"/>
  <c r="Q13" i="11"/>
  <c r="P13" i="11"/>
  <c r="O13" i="11"/>
  <c r="N13" i="11"/>
  <c r="M13" i="11"/>
  <c r="K13" i="11"/>
  <c r="J13" i="11"/>
  <c r="J16" i="11" s="1"/>
  <c r="J18" i="11" s="1"/>
  <c r="J19" i="11" s="1"/>
  <c r="I13" i="11"/>
  <c r="I16" i="11" s="1"/>
  <c r="I18" i="11" s="1"/>
  <c r="I19" i="11" s="1"/>
  <c r="H13" i="11"/>
  <c r="F13" i="11"/>
  <c r="F16" i="11" s="1"/>
  <c r="F18" i="11" s="1"/>
  <c r="F19" i="11" s="1"/>
  <c r="E13" i="11"/>
  <c r="E16" i="11" s="1"/>
  <c r="E18" i="11" s="1"/>
  <c r="E19" i="11" s="1"/>
  <c r="D13" i="11"/>
  <c r="D16" i="11" s="1"/>
  <c r="D18" i="11" s="1"/>
  <c r="D19" i="11" s="1"/>
  <c r="C13" i="11"/>
  <c r="AF12" i="11"/>
  <c r="AF13" i="11" s="1"/>
  <c r="AA12" i="11"/>
  <c r="U12" i="11"/>
  <c r="L12" i="11"/>
  <c r="G12" i="11"/>
  <c r="G13" i="11" s="1"/>
  <c r="AA11" i="11"/>
  <c r="U11" i="11"/>
  <c r="W11" i="11" s="1"/>
  <c r="K11" i="11"/>
  <c r="L11" i="11" s="1"/>
  <c r="AF10" i="11"/>
  <c r="AA10" i="11"/>
  <c r="U10" i="11"/>
  <c r="P10" i="11"/>
  <c r="P16" i="11" s="1"/>
  <c r="H10" i="11"/>
  <c r="G10" i="11"/>
  <c r="O16" i="11" l="1"/>
  <c r="O18" i="11" s="1"/>
  <c r="O19" i="11" s="1"/>
  <c r="L233" i="11"/>
  <c r="Q16" i="11"/>
  <c r="M16" i="11"/>
  <c r="M18" i="11" s="1"/>
  <c r="M19" i="11" s="1"/>
  <c r="N16" i="11"/>
  <c r="N18" i="11" s="1"/>
  <c r="N19" i="11" s="1"/>
  <c r="W10" i="11"/>
  <c r="V12" i="11"/>
  <c r="X12" i="11" s="1"/>
  <c r="AB12" i="11" s="1"/>
  <c r="AB13" i="11" s="1"/>
  <c r="W12" i="11"/>
  <c r="W13" i="11" s="1"/>
  <c r="Q23" i="11"/>
  <c r="W23" i="11"/>
  <c r="P26" i="11"/>
  <c r="Q26" i="11" s="1"/>
  <c r="K226" i="11"/>
  <c r="L226" i="11" s="1"/>
  <c r="L201" i="11"/>
  <c r="AA223" i="11"/>
  <c r="U25" i="11"/>
  <c r="K228" i="11"/>
  <c r="V228" i="11" s="1"/>
  <c r="K236" i="11"/>
  <c r="I214" i="11"/>
  <c r="I25" i="11" s="1"/>
  <c r="K10" i="11"/>
  <c r="L10" i="11" s="1"/>
  <c r="L22" i="11"/>
  <c r="L213" i="11"/>
  <c r="AF216" i="11"/>
  <c r="AF219" i="11" s="1"/>
  <c r="Q230" i="11"/>
  <c r="L234" i="11"/>
  <c r="Q220" i="11"/>
  <c r="P231" i="11"/>
  <c r="V234" i="11"/>
  <c r="U28" i="11"/>
  <c r="Q211" i="11"/>
  <c r="E238" i="11"/>
  <c r="E239" i="11" s="1"/>
  <c r="L204" i="11"/>
  <c r="G238" i="11"/>
  <c r="P28" i="11"/>
  <c r="K205" i="11"/>
  <c r="K24" i="11" s="1"/>
  <c r="F238" i="11"/>
  <c r="F239" i="11" s="1"/>
  <c r="C214" i="11"/>
  <c r="C25" i="11" s="1"/>
  <c r="Q201" i="11"/>
  <c r="D29" i="11"/>
  <c r="D31" i="11" s="1"/>
  <c r="V233" i="11"/>
  <c r="H16" i="11"/>
  <c r="H18" i="11" s="1"/>
  <c r="H19" i="11" s="1"/>
  <c r="V201" i="11"/>
  <c r="L227" i="11"/>
  <c r="Q228" i="11"/>
  <c r="X197" i="11"/>
  <c r="Q207" i="11"/>
  <c r="V210" i="11"/>
  <c r="AA213" i="11"/>
  <c r="AA214" i="11" s="1"/>
  <c r="X235" i="11"/>
  <c r="AB235" i="11" s="1"/>
  <c r="Q233" i="11"/>
  <c r="P27" i="11"/>
  <c r="Q196" i="11"/>
  <c r="Q222" i="11"/>
  <c r="Q226" i="11"/>
  <c r="V203" i="11"/>
  <c r="X203" i="11" s="1"/>
  <c r="AB203" i="11" s="1"/>
  <c r="AF196" i="11"/>
  <c r="U231" i="11"/>
  <c r="Z29" i="11"/>
  <c r="Z31" i="11" s="1"/>
  <c r="L230" i="11"/>
  <c r="L14" i="11"/>
  <c r="P24" i="11"/>
  <c r="E25" i="11"/>
  <c r="E29" i="11" s="1"/>
  <c r="E31" i="11" s="1"/>
  <c r="X206" i="11"/>
  <c r="AB206" i="11" s="1"/>
  <c r="Q210" i="11"/>
  <c r="K211" i="11"/>
  <c r="V211" i="11" s="1"/>
  <c r="L228" i="11"/>
  <c r="P236" i="11"/>
  <c r="O22" i="11"/>
  <c r="O29" i="11" s="1"/>
  <c r="AF211" i="11"/>
  <c r="AF205" i="11"/>
  <c r="AD24" i="11"/>
  <c r="C16" i="11"/>
  <c r="U24" i="11"/>
  <c r="G25" i="11"/>
  <c r="G29" i="11" s="1"/>
  <c r="AF201" i="11"/>
  <c r="AD28" i="11"/>
  <c r="Q14" i="11"/>
  <c r="F25" i="11"/>
  <c r="F29" i="11" s="1"/>
  <c r="F31" i="11" s="1"/>
  <c r="Q204" i="11"/>
  <c r="AD213" i="11"/>
  <c r="AD214" i="11" s="1"/>
  <c r="AA219" i="11"/>
  <c r="H231" i="11"/>
  <c r="H27" i="11" s="1"/>
  <c r="H29" i="11" s="1"/>
  <c r="M238" i="11"/>
  <c r="S29" i="11"/>
  <c r="L210" i="11"/>
  <c r="Q216" i="11"/>
  <c r="Q219" i="11" s="1"/>
  <c r="Y29" i="11"/>
  <c r="Y31" i="11" s="1"/>
  <c r="Y214" i="11"/>
  <c r="Y238" i="11" s="1"/>
  <c r="Y239" i="11" s="1"/>
  <c r="U223" i="11"/>
  <c r="K225" i="11"/>
  <c r="V225" i="11" s="1"/>
  <c r="Q227" i="11"/>
  <c r="L232" i="11"/>
  <c r="Q234" i="11"/>
  <c r="AA13" i="11"/>
  <c r="AA16" i="11" s="1"/>
  <c r="V17" i="11"/>
  <c r="X17" i="11" s="1"/>
  <c r="AB17" i="11" s="1"/>
  <c r="AF16" i="11"/>
  <c r="AF18" i="11" s="1"/>
  <c r="AF19" i="11" s="1"/>
  <c r="G16" i="11"/>
  <c r="G18" i="11" s="1"/>
  <c r="G19" i="11" s="1"/>
  <c r="V14" i="11"/>
  <c r="V11" i="11"/>
  <c r="AB197" i="11"/>
  <c r="X22" i="11"/>
  <c r="L13" i="11"/>
  <c r="V200" i="11"/>
  <c r="X200" i="11" s="1"/>
  <c r="AB200" i="11" s="1"/>
  <c r="V222" i="11"/>
  <c r="L222" i="11"/>
  <c r="V230" i="11"/>
  <c r="AF236" i="11"/>
  <c r="S238" i="11"/>
  <c r="V237" i="11"/>
  <c r="X237" i="11" s="1"/>
  <c r="AB237" i="11" s="1"/>
  <c r="P18" i="11"/>
  <c r="P19" i="11" s="1"/>
  <c r="U13" i="11"/>
  <c r="U16" i="11" s="1"/>
  <c r="V204" i="11"/>
  <c r="V207" i="11"/>
  <c r="V212" i="11"/>
  <c r="X212" i="11" s="1"/>
  <c r="AB212" i="11" s="1"/>
  <c r="N214" i="11"/>
  <c r="N25" i="11" s="1"/>
  <c r="P25" i="11" s="1"/>
  <c r="P213" i="11"/>
  <c r="Q213" i="11" s="1"/>
  <c r="K216" i="11"/>
  <c r="V216" i="11" s="1"/>
  <c r="I219" i="11"/>
  <c r="I26" i="11" s="1"/>
  <c r="J223" i="11"/>
  <c r="J238" i="11" s="1"/>
  <c r="J239" i="11" s="1"/>
  <c r="K221" i="11"/>
  <c r="I231" i="11"/>
  <c r="I27" i="11" s="1"/>
  <c r="K224" i="11"/>
  <c r="V229" i="11"/>
  <c r="X229" i="11" s="1"/>
  <c r="AB229" i="11" s="1"/>
  <c r="D238" i="11"/>
  <c r="D239" i="11" s="1"/>
  <c r="J29" i="11"/>
  <c r="J31" i="11" s="1"/>
  <c r="U22" i="11"/>
  <c r="V227" i="11"/>
  <c r="V196" i="11"/>
  <c r="AA231" i="11"/>
  <c r="AA28" i="11"/>
  <c r="K199" i="11"/>
  <c r="L199" i="11" s="1"/>
  <c r="U219" i="11"/>
  <c r="V217" i="11"/>
  <c r="X217" i="11" s="1"/>
  <c r="AB217" i="11" s="1"/>
  <c r="I223" i="11"/>
  <c r="AF231" i="11"/>
  <c r="R238" i="11"/>
  <c r="Z238" i="11"/>
  <c r="Z239" i="11" s="1"/>
  <c r="Q205" i="11"/>
  <c r="C24" i="11"/>
  <c r="V209" i="11"/>
  <c r="C231" i="11"/>
  <c r="U26" i="11"/>
  <c r="L196" i="11"/>
  <c r="C28" i="11"/>
  <c r="T27" i="11"/>
  <c r="T29" i="11" s="1"/>
  <c r="T238" i="11"/>
  <c r="V232" i="11"/>
  <c r="U236" i="11"/>
  <c r="O238" i="11"/>
  <c r="U213" i="11"/>
  <c r="V213" i="11" s="1"/>
  <c r="AE213" i="11"/>
  <c r="Q232" i="11"/>
  <c r="V220" i="11"/>
  <c r="AA236" i="11"/>
  <c r="Q225" i="11"/>
  <c r="C236" i="11"/>
  <c r="O31" i="11" l="1"/>
  <c r="M239" i="11"/>
  <c r="C18" i="11"/>
  <c r="C19" i="11" s="1"/>
  <c r="AF28" i="11"/>
  <c r="W16" i="11"/>
  <c r="AA18" i="11"/>
  <c r="AA19" i="11" s="1"/>
  <c r="O239" i="11"/>
  <c r="V226" i="11"/>
  <c r="X226" i="11" s="1"/>
  <c r="AB226" i="11" s="1"/>
  <c r="V13" i="11"/>
  <c r="X211" i="11"/>
  <c r="AB211" i="11" s="1"/>
  <c r="Q223" i="11"/>
  <c r="X228" i="11"/>
  <c r="AB228" i="11" s="1"/>
  <c r="W24" i="11"/>
  <c r="W26" i="11"/>
  <c r="L205" i="11"/>
  <c r="X233" i="11"/>
  <c r="AB233" i="11" s="1"/>
  <c r="W25" i="11"/>
  <c r="W28" i="11"/>
  <c r="X230" i="11"/>
  <c r="AB230" i="11" s="1"/>
  <c r="V205" i="11"/>
  <c r="X205" i="11" s="1"/>
  <c r="V24" i="11"/>
  <c r="X207" i="11"/>
  <c r="AB207" i="11" s="1"/>
  <c r="X227" i="11"/>
  <c r="AB227" i="11" s="1"/>
  <c r="X222" i="11"/>
  <c r="AB222" i="11" s="1"/>
  <c r="X14" i="11"/>
  <c r="AB14" i="11" s="1"/>
  <c r="K16" i="11"/>
  <c r="K18" i="11" s="1"/>
  <c r="K19" i="11" s="1"/>
  <c r="V10" i="11"/>
  <c r="G239" i="11"/>
  <c r="X234" i="11"/>
  <c r="AB234" i="11" s="1"/>
  <c r="L236" i="11"/>
  <c r="N238" i="11"/>
  <c r="N239" i="11" s="1"/>
  <c r="X204" i="11"/>
  <c r="AB204" i="11" s="1"/>
  <c r="H31" i="11"/>
  <c r="P22" i="11"/>
  <c r="P29" i="11" s="1"/>
  <c r="P31" i="11" s="1"/>
  <c r="X201" i="11"/>
  <c r="AB201" i="11" s="1"/>
  <c r="Q236" i="11"/>
  <c r="Q25" i="11"/>
  <c r="AF213" i="11"/>
  <c r="AF214" i="11" s="1"/>
  <c r="AF25" i="11" s="1"/>
  <c r="AF29" i="11" s="1"/>
  <c r="AF31" i="11" s="1"/>
  <c r="L225" i="11"/>
  <c r="K214" i="11"/>
  <c r="K25" i="11" s="1"/>
  <c r="L25" i="11" s="1"/>
  <c r="Q231" i="11"/>
  <c r="X210" i="11"/>
  <c r="AB210" i="11" s="1"/>
  <c r="I238" i="11"/>
  <c r="I239" i="11" s="1"/>
  <c r="X196" i="11"/>
  <c r="AB196" i="11" s="1"/>
  <c r="AD25" i="11"/>
  <c r="AD29" i="11" s="1"/>
  <c r="AD31" i="11" s="1"/>
  <c r="AD238" i="11"/>
  <c r="AD239" i="11" s="1"/>
  <c r="L211" i="11"/>
  <c r="L214" i="11" s="1"/>
  <c r="AA238" i="11"/>
  <c r="K231" i="11"/>
  <c r="K27" i="11" s="1"/>
  <c r="H238" i="11"/>
  <c r="H239" i="11" s="1"/>
  <c r="AE214" i="11"/>
  <c r="I29" i="11"/>
  <c r="I31" i="11" s="1"/>
  <c r="Q214" i="11"/>
  <c r="K223" i="11"/>
  <c r="L223" i="11" s="1"/>
  <c r="U214" i="11"/>
  <c r="U238" i="11" s="1"/>
  <c r="G31" i="11"/>
  <c r="X11" i="11"/>
  <c r="X13" i="11" s="1"/>
  <c r="V214" i="11"/>
  <c r="X209" i="11"/>
  <c r="P214" i="11"/>
  <c r="P238" i="11" s="1"/>
  <c r="P239" i="11" s="1"/>
  <c r="V199" i="11"/>
  <c r="X199" i="11" s="1"/>
  <c r="AB199" i="11" s="1"/>
  <c r="C238" i="11"/>
  <c r="C239" i="11" s="1"/>
  <c r="C27" i="11"/>
  <c r="Q24" i="11"/>
  <c r="L24" i="11"/>
  <c r="U27" i="11"/>
  <c r="W27" i="11" s="1"/>
  <c r="K219" i="11"/>
  <c r="Q28" i="11"/>
  <c r="AA29" i="11"/>
  <c r="V224" i="11"/>
  <c r="L224" i="11"/>
  <c r="L216" i="11"/>
  <c r="N29" i="11"/>
  <c r="N31" i="11" s="1"/>
  <c r="V22" i="11"/>
  <c r="V221" i="11"/>
  <c r="X221" i="11" s="1"/>
  <c r="AB221" i="11" s="1"/>
  <c r="L221" i="11"/>
  <c r="X220" i="11"/>
  <c r="AB22" i="11"/>
  <c r="X213" i="11"/>
  <c r="AB213" i="11" s="1"/>
  <c r="X232" i="11"/>
  <c r="V236" i="11"/>
  <c r="X225" i="11"/>
  <c r="AB225" i="11" s="1"/>
  <c r="K28" i="11"/>
  <c r="V28" i="11" s="1"/>
  <c r="V219" i="11"/>
  <c r="X216" i="11"/>
  <c r="X10" i="11" l="1"/>
  <c r="X16" i="11" s="1"/>
  <c r="V16" i="11"/>
  <c r="L16" i="11"/>
  <c r="L18" i="11" s="1"/>
  <c r="L19" i="11" s="1"/>
  <c r="AA31" i="11"/>
  <c r="AA239" i="11"/>
  <c r="Q18" i="11"/>
  <c r="Q19" i="11" s="1"/>
  <c r="AB205" i="11"/>
  <c r="X24" i="11"/>
  <c r="AB24" i="11" s="1"/>
  <c r="W22" i="11"/>
  <c r="W29" i="11" s="1"/>
  <c r="Q22" i="11"/>
  <c r="K238" i="11"/>
  <c r="K239" i="11" s="1"/>
  <c r="Q238" i="11"/>
  <c r="V25" i="11"/>
  <c r="AF238" i="11"/>
  <c r="AF239" i="11" s="1"/>
  <c r="X28" i="11"/>
  <c r="AB28" i="11" s="1"/>
  <c r="V27" i="11"/>
  <c r="L231" i="11"/>
  <c r="AE238" i="11"/>
  <c r="AE239" i="11" s="1"/>
  <c r="AE25" i="11"/>
  <c r="AE29" i="11" s="1"/>
  <c r="AE31" i="11" s="1"/>
  <c r="U29" i="11"/>
  <c r="V231" i="11"/>
  <c r="X224" i="11"/>
  <c r="K26" i="11"/>
  <c r="L219" i="11"/>
  <c r="X219" i="11"/>
  <c r="X26" i="11" s="1"/>
  <c r="AB26" i="11" s="1"/>
  <c r="AB216" i="11"/>
  <c r="AB219" i="11" s="1"/>
  <c r="V223" i="11"/>
  <c r="L28" i="11"/>
  <c r="X214" i="11"/>
  <c r="X25" i="11" s="1"/>
  <c r="AB209" i="11"/>
  <c r="AB214" i="11" s="1"/>
  <c r="Q27" i="11"/>
  <c r="L27" i="11"/>
  <c r="C29" i="11"/>
  <c r="AB220" i="11"/>
  <c r="AB223" i="11" s="1"/>
  <c r="X223" i="11"/>
  <c r="X236" i="11"/>
  <c r="AB232" i="11"/>
  <c r="AB236" i="11" s="1"/>
  <c r="AB10" i="11"/>
  <c r="AB16" i="11" l="1"/>
  <c r="AB18" i="11" s="1"/>
  <c r="AB19" i="11" s="1"/>
  <c r="R18" i="11"/>
  <c r="R19" i="11" s="1"/>
  <c r="R239" i="11" s="1"/>
  <c r="Q239" i="11"/>
  <c r="Q29" i="11"/>
  <c r="Q31" i="11" s="1"/>
  <c r="Q242" i="11"/>
  <c r="V238" i="11"/>
  <c r="L238" i="11"/>
  <c r="L239" i="11" s="1"/>
  <c r="AB25" i="11"/>
  <c r="L26" i="11"/>
  <c r="V26" i="11"/>
  <c r="V29" i="11" s="1"/>
  <c r="K29" i="11"/>
  <c r="K31" i="11" s="1"/>
  <c r="X231" i="11"/>
  <c r="X27" i="11" s="1"/>
  <c r="AB27" i="11" s="1"/>
  <c r="AB224" i="11"/>
  <c r="AB231" i="11" s="1"/>
  <c r="AB238" i="11" s="1"/>
  <c r="C31" i="11"/>
  <c r="AB239" i="11" l="1"/>
  <c r="S18" i="11"/>
  <c r="S19" i="11" s="1"/>
  <c r="X238" i="11"/>
  <c r="L29" i="11"/>
  <c r="L31" i="11" s="1"/>
  <c r="X29" i="11"/>
  <c r="AB29" i="11"/>
  <c r="AB31" i="11" s="1"/>
  <c r="S31" i="11" l="1"/>
  <c r="S239" i="11"/>
  <c r="T18" i="11"/>
  <c r="T19" i="11" s="1"/>
  <c r="O15" i="6"/>
  <c r="T239" i="11" l="1"/>
  <c r="T31" i="11"/>
  <c r="U18" i="11"/>
  <c r="U19" i="11" s="1"/>
  <c r="U239" i="11" l="1"/>
  <c r="U31" i="11"/>
  <c r="V18" i="11"/>
  <c r="V19" i="11" s="1"/>
  <c r="V239" i="11" l="1"/>
  <c r="V31" i="11"/>
  <c r="W18" i="11"/>
  <c r="W19" i="11" s="1"/>
  <c r="W31" i="11" s="1"/>
  <c r="X18" i="11"/>
  <c r="X19" i="11" s="1"/>
  <c r="U240" i="11"/>
  <c r="T240" i="11"/>
  <c r="U241" i="11"/>
  <c r="X31" i="11" l="1"/>
  <c r="X239" i="11"/>
  <c r="X240" i="11"/>
  <c r="V241" i="11"/>
  <c r="C73" i="2" l="1"/>
  <c r="E73" i="2" s="1"/>
  <c r="E72" i="2"/>
  <c r="B72" i="2"/>
  <c r="B73" i="2" s="1"/>
  <c r="C69" i="2"/>
  <c r="C70" i="2" s="1"/>
  <c r="E68" i="2"/>
  <c r="B68" i="2"/>
  <c r="D68" i="2" s="1"/>
  <c r="E67" i="2"/>
  <c r="B67" i="2"/>
  <c r="D67" i="2" s="1"/>
  <c r="E66" i="2"/>
  <c r="B66" i="2"/>
  <c r="D66" i="2" s="1"/>
  <c r="E65" i="2"/>
  <c r="B65" i="2"/>
  <c r="D65" i="2" s="1"/>
  <c r="E64" i="2"/>
  <c r="D64" i="2"/>
  <c r="E63" i="2"/>
  <c r="B63" i="2"/>
  <c r="E59" i="2"/>
  <c r="B59" i="2"/>
  <c r="D59" i="2" s="1"/>
  <c r="C57" i="2"/>
  <c r="D57" i="2" s="1"/>
  <c r="C56" i="2"/>
  <c r="E56" i="2" s="1"/>
  <c r="C55" i="2"/>
  <c r="B55" i="2"/>
  <c r="D55" i="2" s="1"/>
  <c r="C54" i="2"/>
  <c r="E54" i="2" s="1"/>
  <c r="B54" i="2"/>
  <c r="E53" i="2"/>
  <c r="B53" i="2"/>
  <c r="E51" i="2"/>
  <c r="C51" i="2"/>
  <c r="B51" i="2"/>
  <c r="D51" i="2" s="1"/>
  <c r="E50" i="2"/>
  <c r="C50" i="2"/>
  <c r="B50" i="2"/>
  <c r="C49" i="2"/>
  <c r="E49" i="2" s="1"/>
  <c r="B49" i="2"/>
  <c r="D49" i="2" s="1"/>
  <c r="C48" i="2"/>
  <c r="E48" i="2" s="1"/>
  <c r="B48" i="2"/>
  <c r="D48" i="2" s="1"/>
  <c r="E47" i="2"/>
  <c r="C47" i="2"/>
  <c r="B47" i="2"/>
  <c r="D47" i="2" s="1"/>
  <c r="C46" i="2"/>
  <c r="C52" i="2" s="1"/>
  <c r="B46" i="2"/>
  <c r="E45" i="2"/>
  <c r="D45" i="2"/>
  <c r="B45" i="2"/>
  <c r="C43" i="2"/>
  <c r="C44" i="2" s="1"/>
  <c r="B43" i="2"/>
  <c r="E42" i="2"/>
  <c r="D42" i="2"/>
  <c r="B42" i="2"/>
  <c r="B44" i="2" s="1"/>
  <c r="E41" i="2"/>
  <c r="D41" i="2"/>
  <c r="B40" i="2"/>
  <c r="E39" i="2"/>
  <c r="C39" i="2"/>
  <c r="D39" i="2" s="1"/>
  <c r="E38" i="2"/>
  <c r="D38" i="2"/>
  <c r="C38" i="2"/>
  <c r="B38" i="2"/>
  <c r="C37" i="2"/>
  <c r="D37" i="2" s="1"/>
  <c r="B37" i="2"/>
  <c r="E36" i="2"/>
  <c r="D36" i="2"/>
  <c r="C34" i="2"/>
  <c r="E34" i="2" s="1"/>
  <c r="B34" i="2"/>
  <c r="C33" i="2"/>
  <c r="B33" i="2"/>
  <c r="D33" i="2" s="1"/>
  <c r="C32" i="2"/>
  <c r="E32" i="2" s="1"/>
  <c r="B32" i="2"/>
  <c r="C31" i="2"/>
  <c r="B31" i="2"/>
  <c r="B35" i="2" s="1"/>
  <c r="E30" i="2"/>
  <c r="D30" i="2"/>
  <c r="C29" i="2"/>
  <c r="D29" i="2" s="1"/>
  <c r="C28" i="2"/>
  <c r="B28" i="2"/>
  <c r="D28" i="2" s="1"/>
  <c r="C27" i="2"/>
  <c r="E27" i="2" s="1"/>
  <c r="C26" i="2"/>
  <c r="B26" i="2"/>
  <c r="D26" i="2" s="1"/>
  <c r="C25" i="2"/>
  <c r="B25" i="2"/>
  <c r="D25" i="2" s="1"/>
  <c r="E24" i="2"/>
  <c r="B24" i="2"/>
  <c r="D24" i="2" s="1"/>
  <c r="E23" i="2"/>
  <c r="C23" i="2"/>
  <c r="B23" i="2"/>
  <c r="C22" i="2"/>
  <c r="E22" i="2" s="1"/>
  <c r="B22" i="2"/>
  <c r="D22" i="2" s="1"/>
  <c r="C21" i="2"/>
  <c r="E21" i="2" s="1"/>
  <c r="B21" i="2"/>
  <c r="D21" i="2" s="1"/>
  <c r="E20" i="2"/>
  <c r="C20" i="2"/>
  <c r="D20" i="2" s="1"/>
  <c r="C19" i="2"/>
  <c r="B19" i="2"/>
  <c r="E19" i="2" s="1"/>
  <c r="E15" i="2"/>
  <c r="D15" i="2"/>
  <c r="B15" i="2"/>
  <c r="C13" i="2"/>
  <c r="B13" i="2"/>
  <c r="C11" i="2"/>
  <c r="C12" i="2" s="1"/>
  <c r="B12" i="2"/>
  <c r="E10" i="2"/>
  <c r="D10" i="2"/>
  <c r="E9" i="2"/>
  <c r="C9" i="2"/>
  <c r="B9" i="2"/>
  <c r="E8" i="2"/>
  <c r="D8" i="2"/>
  <c r="B62" i="1"/>
  <c r="B61" i="1"/>
  <c r="B60" i="1"/>
  <c r="B59" i="1"/>
  <c r="B58" i="1"/>
  <c r="B57" i="1"/>
  <c r="B53" i="1"/>
  <c r="B54" i="1" s="1"/>
  <c r="B55" i="1" s="1"/>
  <c r="B63" i="1" s="1"/>
  <c r="B52" i="1"/>
  <c r="B51" i="1"/>
  <c r="B50" i="1"/>
  <c r="B48" i="1"/>
  <c r="B47" i="1"/>
  <c r="B40" i="1"/>
  <c r="B39" i="1"/>
  <c r="B38" i="1"/>
  <c r="B37" i="1"/>
  <c r="B36" i="1"/>
  <c r="B34" i="1"/>
  <c r="B33" i="1"/>
  <c r="B35" i="1" s="1"/>
  <c r="B32" i="1"/>
  <c r="B31" i="1"/>
  <c r="B30" i="1"/>
  <c r="B29" i="1"/>
  <c r="B28" i="1"/>
  <c r="B24" i="1"/>
  <c r="B23" i="1"/>
  <c r="B25" i="1" s="1"/>
  <c r="B26" i="1" s="1"/>
  <c r="B19" i="1"/>
  <c r="B20" i="1" s="1"/>
  <c r="B17" i="1"/>
  <c r="B16" i="1"/>
  <c r="B13" i="1"/>
  <c r="B12" i="1"/>
  <c r="B14" i="1" s="1"/>
  <c r="B21" i="1" s="1"/>
  <c r="B11" i="1"/>
  <c r="B10" i="1"/>
  <c r="B9" i="1"/>
  <c r="O14" i="6"/>
  <c r="O13" i="6"/>
  <c r="O12" i="6"/>
  <c r="E28" i="2" l="1"/>
  <c r="E31" i="2"/>
  <c r="E55" i="2"/>
  <c r="D12" i="2"/>
  <c r="D32" i="2"/>
  <c r="D46" i="2"/>
  <c r="D19" i="2"/>
  <c r="E46" i="2"/>
  <c r="E29" i="2"/>
  <c r="E33" i="2"/>
  <c r="E37" i="2"/>
  <c r="E43" i="2"/>
  <c r="E57" i="2"/>
  <c r="D73" i="2"/>
  <c r="D43" i="2"/>
  <c r="B58" i="2"/>
  <c r="D13" i="2"/>
  <c r="D23" i="2"/>
  <c r="E26" i="2"/>
  <c r="D34" i="2"/>
  <c r="D50" i="2"/>
  <c r="D54" i="2"/>
  <c r="E25" i="2"/>
  <c r="C40" i="2"/>
  <c r="E40" i="2" s="1"/>
  <c r="D35" i="2"/>
  <c r="D44" i="2"/>
  <c r="E44" i="2"/>
  <c r="D40" i="2"/>
  <c r="D58" i="2"/>
  <c r="C74" i="2"/>
  <c r="E74" i="2" s="1"/>
  <c r="E70" i="2"/>
  <c r="C14" i="2"/>
  <c r="E12" i="2"/>
  <c r="B14" i="2"/>
  <c r="D31" i="2"/>
  <c r="D53" i="2"/>
  <c r="D63" i="2"/>
  <c r="B69" i="2"/>
  <c r="D69" i="2" s="1"/>
  <c r="C35" i="2"/>
  <c r="E35" i="2" s="1"/>
  <c r="C58" i="2"/>
  <c r="E58" i="2" s="1"/>
  <c r="D72" i="2"/>
  <c r="D11" i="2"/>
  <c r="B52" i="2"/>
  <c r="D52" i="2" s="1"/>
  <c r="D56" i="2"/>
  <c r="E69" i="2"/>
  <c r="D27" i="2"/>
  <c r="E13" i="2"/>
  <c r="E11" i="2"/>
  <c r="D9" i="2"/>
  <c r="B41" i="1"/>
  <c r="B42" i="1" s="1"/>
  <c r="C60" i="2" l="1"/>
  <c r="B60" i="2"/>
  <c r="E52" i="2"/>
  <c r="B16" i="2"/>
  <c r="D14" i="2"/>
  <c r="C16" i="2"/>
  <c r="E14" i="2"/>
  <c r="B70" i="2"/>
  <c r="D60" i="2" l="1"/>
  <c r="C17" i="2"/>
  <c r="E16" i="2"/>
  <c r="D70" i="2"/>
  <c r="B74" i="2"/>
  <c r="D74" i="2" s="1"/>
  <c r="E60" i="2"/>
  <c r="D16" i="2"/>
  <c r="B17" i="2"/>
  <c r="C61" i="2" l="1"/>
  <c r="E17" i="2"/>
  <c r="D17" i="2"/>
  <c r="B61" i="2"/>
  <c r="D61" i="2" l="1"/>
  <c r="B75" i="2"/>
  <c r="E61" i="2"/>
  <c r="C75" i="2"/>
  <c r="D75" i="2" l="1"/>
  <c r="E75" i="2"/>
  <c r="F7" i="9" l="1"/>
  <c r="E7" i="9"/>
  <c r="B7" i="9"/>
  <c r="F6" i="9"/>
  <c r="D6" i="9"/>
  <c r="D7" i="9" s="1"/>
  <c r="C6" i="9"/>
  <c r="C7" i="9" s="1"/>
  <c r="G7" i="9" s="1"/>
  <c r="B6" i="9"/>
  <c r="F8" i="4"/>
  <c r="E8" i="4"/>
  <c r="D8" i="4"/>
  <c r="C8" i="4"/>
  <c r="B7" i="4"/>
  <c r="G7" i="4" s="1"/>
  <c r="B6" i="4"/>
  <c r="B8" i="4" s="1"/>
  <c r="G6" i="9" l="1"/>
  <c r="G8" i="4"/>
  <c r="G6" i="4"/>
  <c r="G31" i="2" l="1"/>
  <c r="G30" i="2"/>
  <c r="G23" i="2"/>
  <c r="G22" i="2"/>
  <c r="G32" i="2" l="1"/>
  <c r="G24" i="2"/>
  <c r="N23" i="6"/>
  <c r="H29" i="2" l="1"/>
  <c r="H58" i="2"/>
  <c r="H59" i="2"/>
  <c r="H60" i="2" l="1"/>
  <c r="H52" i="2"/>
  <c r="H44" i="2"/>
  <c r="H40" i="2"/>
  <c r="H35" i="2"/>
  <c r="K35" i="2" s="1"/>
  <c r="H17" i="2"/>
  <c r="O19" i="6"/>
  <c r="H66" i="2" l="1"/>
  <c r="H61" i="2"/>
  <c r="H63" i="2" s="1"/>
  <c r="H65" i="2"/>
  <c r="H67" i="2" l="1"/>
  <c r="N15" i="6" l="1"/>
  <c r="N14" i="6"/>
  <c r="N13" i="6"/>
  <c r="N12" i="6"/>
  <c r="M27" i="5" l="1"/>
  <c r="M24" i="5"/>
  <c r="M21" i="5"/>
  <c r="M16" i="5"/>
  <c r="M11" i="5"/>
  <c r="L29" i="5"/>
  <c r="M29" i="5" l="1"/>
  <c r="M23" i="6" l="1"/>
  <c r="Y18" i="6"/>
  <c r="M15" i="6"/>
  <c r="L15" i="6"/>
  <c r="K15" i="6"/>
  <c r="J15" i="6"/>
  <c r="I15" i="6"/>
  <c r="H15" i="6"/>
  <c r="G15" i="6"/>
  <c r="F15" i="6"/>
  <c r="E15" i="6"/>
  <c r="M14" i="6"/>
  <c r="M19" i="6" s="1"/>
  <c r="L14" i="6"/>
  <c r="K14" i="6"/>
  <c r="K19" i="6" s="1"/>
  <c r="J14" i="6"/>
  <c r="I14" i="6"/>
  <c r="H14" i="6"/>
  <c r="G14" i="6"/>
  <c r="F14" i="6"/>
  <c r="E14" i="6"/>
  <c r="E19" i="6" s="1"/>
  <c r="M13" i="6"/>
  <c r="L13" i="6"/>
  <c r="K13" i="6"/>
  <c r="J13" i="6"/>
  <c r="I13" i="6"/>
  <c r="H13" i="6"/>
  <c r="G13" i="6"/>
  <c r="F13" i="6"/>
  <c r="E13" i="6"/>
  <c r="M12" i="6"/>
  <c r="L12" i="6"/>
  <c r="P12" i="6" s="1"/>
  <c r="K12" i="6"/>
  <c r="J12" i="6"/>
  <c r="I12" i="6"/>
  <c r="H12" i="6"/>
  <c r="G12" i="6"/>
  <c r="F12" i="6"/>
  <c r="E12" i="6"/>
  <c r="E11" i="6"/>
  <c r="P11" i="6" s="1"/>
  <c r="J19" i="6" l="1"/>
  <c r="P13" i="6"/>
  <c r="P15" i="6"/>
  <c r="H19" i="6"/>
  <c r="G19" i="6"/>
  <c r="I19" i="6"/>
  <c r="L19" i="6"/>
  <c r="P14" i="6"/>
  <c r="N19" i="6"/>
  <c r="E17" i="6"/>
  <c r="F11" i="6" s="1"/>
  <c r="F17" i="6" s="1"/>
  <c r="G11" i="6" s="1"/>
  <c r="G17" i="6" s="1"/>
  <c r="H11" i="6" s="1"/>
  <c r="H17" i="6" s="1"/>
  <c r="I11" i="6" s="1"/>
  <c r="I17" i="6" s="1"/>
  <c r="J11" i="6" s="1"/>
  <c r="J17" i="6" s="1"/>
  <c r="K11" i="6" s="1"/>
  <c r="K17" i="6" s="1"/>
  <c r="L11" i="6" s="1"/>
  <c r="L17" i="6" s="1"/>
  <c r="M11" i="6" s="1"/>
  <c r="M17" i="6" s="1"/>
  <c r="F19" i="6"/>
  <c r="P17" i="6" l="1"/>
  <c r="M20" i="6"/>
  <c r="N11" i="6"/>
  <c r="N17" i="6" s="1"/>
  <c r="K20" i="6"/>
  <c r="J20" i="6"/>
  <c r="G20" i="6"/>
  <c r="E20" i="6"/>
  <c r="H20" i="6"/>
  <c r="I20" i="6"/>
  <c r="F20" i="6"/>
  <c r="L20" i="6"/>
  <c r="F29" i="5"/>
  <c r="F34" i="5" s="1"/>
  <c r="N20" i="6" l="1"/>
  <c r="O11" i="6"/>
  <c r="O17" i="6" s="1"/>
  <c r="O20" i="6" s="1"/>
</calcChain>
</file>

<file path=xl/sharedStrings.xml><?xml version="1.0" encoding="utf-8"?>
<sst xmlns="http://schemas.openxmlformats.org/spreadsheetml/2006/main" count="405" uniqueCount="310">
  <si>
    <t>Total</t>
  </si>
  <si>
    <t>ASSETS</t>
  </si>
  <si>
    <t xml:space="preserve">   Current Assets</t>
  </si>
  <si>
    <t xml:space="preserve">      Bank Accounts</t>
  </si>
  <si>
    <t xml:space="preserve">         10010 Bank of America</t>
  </si>
  <si>
    <t xml:space="preserve">         10020 Vanguard Operating Account</t>
  </si>
  <si>
    <t xml:space="preserve">         10030 Vanguard Xfer Operating Account</t>
  </si>
  <si>
    <t xml:space="preserve">         10040 Northfield Checking</t>
  </si>
  <si>
    <t xml:space="preserve">         10050 Northfield Fund Donation Checking</t>
  </si>
  <si>
    <t xml:space="preserve">      Total Bank Accounts</t>
  </si>
  <si>
    <t xml:space="preserve">      Accounts Receivable</t>
  </si>
  <si>
    <t xml:space="preserve">         11000 Accounts Receivable</t>
  </si>
  <si>
    <t xml:space="preserve">      Total Accounts Receivable</t>
  </si>
  <si>
    <t xml:space="preserve">      Other Current Assets</t>
  </si>
  <si>
    <t xml:space="preserve">         12000 Undeposited Funds</t>
  </si>
  <si>
    <t xml:space="preserve">      Total Other Current Assets</t>
  </si>
  <si>
    <t xml:space="preserve">   Total Current Assets</t>
  </si>
  <si>
    <t xml:space="preserve">   Fixed Assets</t>
  </si>
  <si>
    <t xml:space="preserve">      Computers &amp; Furniture</t>
  </si>
  <si>
    <t xml:space="preserve">         Accumulated Deprecition - Compu</t>
  </si>
  <si>
    <t xml:space="preserve">      Total Computers &amp; Furniture</t>
  </si>
  <si>
    <t xml:space="preserve">   Total Fixed Assets</t>
  </si>
  <si>
    <t xml:space="preserve">   Other Assets</t>
  </si>
  <si>
    <t xml:space="preserve">      1400 Investment Portfolio</t>
  </si>
  <si>
    <t xml:space="preserve">         1402 Vanguard JAGPO and JAFSK</t>
  </si>
  <si>
    <t xml:space="preserve">         1403 Custodial Investment Accounts</t>
  </si>
  <si>
    <t xml:space="preserve">         1404 Custodial Gift Annuities</t>
  </si>
  <si>
    <t xml:space="preserve">      Total 1400 Investment Portfolio</t>
  </si>
  <si>
    <t xml:space="preserve">      15000 Furniture and Equipment</t>
  </si>
  <si>
    <t xml:space="preserve">         Accumulated Depreciation</t>
  </si>
  <si>
    <t xml:space="preserve">      Total 15000 Furniture and Equipment</t>
  </si>
  <si>
    <t xml:space="preserve">      Cash Value of Life Insurance</t>
  </si>
  <si>
    <t xml:space="preserve">      Gift Annuity</t>
  </si>
  <si>
    <t xml:space="preserve">      Prepaid Insurance</t>
  </si>
  <si>
    <t xml:space="preserve">      Receivable from Portfolio</t>
  </si>
  <si>
    <t xml:space="preserve">      Suspense Account</t>
  </si>
  <si>
    <t xml:space="preserve">   Total Other Assets</t>
  </si>
  <si>
    <t>TOTAL ASSETS</t>
  </si>
  <si>
    <t>LIABILITIES AND EQUITY</t>
  </si>
  <si>
    <t xml:space="preserve">   Liabilities</t>
  </si>
  <si>
    <t xml:space="preserve">      Current Liabilities</t>
  </si>
  <si>
    <t xml:space="preserve">         Accounts Payable</t>
  </si>
  <si>
    <t xml:space="preserve">            20000 Accounts Payable</t>
  </si>
  <si>
    <t xml:space="preserve">         Total Accounts Payable</t>
  </si>
  <si>
    <t xml:space="preserve">         Other Current Liabilities</t>
  </si>
  <si>
    <t xml:space="preserve">            21000 Paycheck Protection Loan Payable</t>
  </si>
  <si>
    <t xml:space="preserve">            22000 Accrued Expenses</t>
  </si>
  <si>
    <t xml:space="preserve">            Custodial Accounts Liability</t>
  </si>
  <si>
    <t xml:space="preserve">         Total Other Current Liabilities</t>
  </si>
  <si>
    <t xml:space="preserve">      Total Current Liabilities</t>
  </si>
  <si>
    <t xml:space="preserve">   Total Liabilities</t>
  </si>
  <si>
    <t xml:space="preserve">   Equity</t>
  </si>
  <si>
    <t xml:space="preserve">      31200 Donor Advised Funds</t>
  </si>
  <si>
    <t xml:space="preserve">      31300 Perm. Restricted Net Assets</t>
  </si>
  <si>
    <t xml:space="preserve">      31500 Temp. Restricted Net Assets</t>
  </si>
  <si>
    <t xml:space="preserve">      32000 Unrestricted Net Assets</t>
  </si>
  <si>
    <t xml:space="preserve">      Net Revenue</t>
  </si>
  <si>
    <t xml:space="preserve">   Total Equity</t>
  </si>
  <si>
    <t>TOTAL LIABILITIES AND EQUITY</t>
  </si>
  <si>
    <t>Jewish Community Foundation of Greater Mercer</t>
  </si>
  <si>
    <t>Statement of Financial Position</t>
  </si>
  <si>
    <t>For Management use Only</t>
  </si>
  <si>
    <t>Net Revenue</t>
  </si>
  <si>
    <t>Net Other Revenue</t>
  </si>
  <si>
    <t>Total Other Expenditures</t>
  </si>
  <si>
    <t xml:space="preserve">   60007 Allocations</t>
  </si>
  <si>
    <t>Other Expenditures</t>
  </si>
  <si>
    <t>Total Other Revenue</t>
  </si>
  <si>
    <t xml:space="preserve">   Total 45000 Investment Gain or Loss, Net</t>
  </si>
  <si>
    <t xml:space="preserve">      60006 Investment Management Fees</t>
  </si>
  <si>
    <t xml:space="preserve">      45400 Unrealized Gains and Losses</t>
  </si>
  <si>
    <t xml:space="preserve">      45100 Investment Income</t>
  </si>
  <si>
    <t xml:space="preserve">   45000 Investment Gain or Loss, Net</t>
  </si>
  <si>
    <t xml:space="preserve">   41000 DAF Contributions</t>
  </si>
  <si>
    <t>Other Revenue</t>
  </si>
  <si>
    <t>Net Operating Revenue</t>
  </si>
  <si>
    <t>Total Expenditures</t>
  </si>
  <si>
    <t xml:space="preserve">   Total 68310 Conference, Convention, Meeting</t>
  </si>
  <si>
    <t xml:space="preserve">      68340 Conferences and Conventions</t>
  </si>
  <si>
    <t xml:space="preserve">      68330 Board Meeting Expenses</t>
  </si>
  <si>
    <t xml:space="preserve">      68320 JFCGM Programs</t>
  </si>
  <si>
    <t xml:space="preserve">   68310 Conference, Convention, Meeting</t>
  </si>
  <si>
    <t xml:space="preserve">   Total 65000 Office Expenses</t>
  </si>
  <si>
    <t xml:space="preserve">      65060 Tel/Communication/Internet</t>
  </si>
  <si>
    <t xml:space="preserve">      65050 Membership Dues</t>
  </si>
  <si>
    <t xml:space="preserve">      65040 Supplies</t>
  </si>
  <si>
    <t xml:space="preserve">      65030 Printing and Copying</t>
  </si>
  <si>
    <t xml:space="preserve">      65020 Postage, Mailing Service</t>
  </si>
  <si>
    <t xml:space="preserve">      65010 Licenses</t>
  </si>
  <si>
    <t xml:space="preserve">   65000 Office Expenses</t>
  </si>
  <si>
    <t xml:space="preserve">   Total 63000 Insurance</t>
  </si>
  <si>
    <t xml:space="preserve">      63200 Liability Insurance</t>
  </si>
  <si>
    <t xml:space="preserve">      63100 Insurance - Donor</t>
  </si>
  <si>
    <t xml:space="preserve">   63000 Insurance</t>
  </si>
  <si>
    <t xml:space="preserve">   Total 62100 Professional Fees</t>
  </si>
  <si>
    <t xml:space="preserve">      62140 Legal Fees</t>
  </si>
  <si>
    <t xml:space="preserve">      62120 Auditor</t>
  </si>
  <si>
    <t xml:space="preserve">      62110 Accounting Fees</t>
  </si>
  <si>
    <t xml:space="preserve">   62100 Professional Fees</t>
  </si>
  <si>
    <t xml:space="preserve">   Total 60900 Payroll and Consulting Fees</t>
  </si>
  <si>
    <t xml:space="preserve">      60904 Payroll Tax Expense</t>
  </si>
  <si>
    <t xml:space="preserve">      60903 Payroll Processing Fees</t>
  </si>
  <si>
    <t xml:space="preserve">      60902 Payroll</t>
  </si>
  <si>
    <t xml:space="preserve">      60901 Consultants</t>
  </si>
  <si>
    <t xml:space="preserve">   60900 Payroll and Consulting Fees</t>
  </si>
  <si>
    <t xml:space="preserve">   60040 Miscellaneous</t>
  </si>
  <si>
    <t xml:space="preserve">   60020 Website</t>
  </si>
  <si>
    <t xml:space="preserve">   60010 Travel</t>
  </si>
  <si>
    <t xml:space="preserve">   60009 Renaissance Fee</t>
  </si>
  <si>
    <t xml:space="preserve">   60008 Advertising/Promotional</t>
  </si>
  <si>
    <t xml:space="preserve">   60004 JCC/Ewing Property</t>
  </si>
  <si>
    <t xml:space="preserve">   60003 Promotional Material</t>
  </si>
  <si>
    <t xml:space="preserve">   60002 Rent</t>
  </si>
  <si>
    <t xml:space="preserve">   60001 Bank Fees</t>
  </si>
  <si>
    <t>Expenditures</t>
  </si>
  <si>
    <t>Gross Profit</t>
  </si>
  <si>
    <t>Total Revenue</t>
  </si>
  <si>
    <t xml:space="preserve">   45030 Interest</t>
  </si>
  <si>
    <t xml:space="preserve">   Total 43400 Support and Revenue</t>
  </si>
  <si>
    <t xml:space="preserve">         43441 Fee Income from Portfolio</t>
  </si>
  <si>
    <t xml:space="preserve">      43440 Fee Income</t>
  </si>
  <si>
    <t xml:space="preserve">      43410 Contributions</t>
  </si>
  <si>
    <t xml:space="preserve">   43400 Support and Revenue</t>
  </si>
  <si>
    <t>Revenue</t>
  </si>
  <si>
    <t>% of Budget</t>
  </si>
  <si>
    <t>over Budget</t>
  </si>
  <si>
    <t>Budget</t>
  </si>
  <si>
    <t>Actual</t>
  </si>
  <si>
    <t>TOTAL</t>
  </si>
  <si>
    <t>91 and over</t>
  </si>
  <si>
    <t>61 - 90</t>
  </si>
  <si>
    <t>31 - 60</t>
  </si>
  <si>
    <t>1 - 30</t>
  </si>
  <si>
    <t>Current</t>
  </si>
  <si>
    <t>A/P Aging Summary</t>
  </si>
  <si>
    <t xml:space="preserve">Jewish Community Foundation of Greater Mercer </t>
  </si>
  <si>
    <t xml:space="preserve"> Treasurer's Report</t>
  </si>
  <si>
    <t>For Internal Use Only</t>
  </si>
  <si>
    <t>Custodial Funds</t>
  </si>
  <si>
    <t>Total Custodial Funds</t>
  </si>
  <si>
    <t>Permanently Restricted Funds</t>
  </si>
  <si>
    <t>Total Permanently Restricted Funds</t>
  </si>
  <si>
    <t>Temporarily Restricted Funds</t>
  </si>
  <si>
    <t>Total Temporarily Restricted Funds</t>
  </si>
  <si>
    <t>Unrestricted Funds of the Foundation in the Investment Portfolio</t>
  </si>
  <si>
    <t>Total Assets in Investment Portfolio</t>
  </si>
  <si>
    <t>wo UFF</t>
  </si>
  <si>
    <t>Sachs</t>
  </si>
  <si>
    <t>Alperin</t>
  </si>
  <si>
    <t>Sucharow</t>
  </si>
  <si>
    <t>Misc</t>
  </si>
  <si>
    <t>Fund Activity Since July, 2012</t>
  </si>
  <si>
    <t>(Not Including Unrestricted Funds of the Foundation)</t>
  </si>
  <si>
    <t>Fiscal Year 2013</t>
  </si>
  <si>
    <t>Fiscal Year 2014</t>
  </si>
  <si>
    <t>Fiscal Year 2015</t>
  </si>
  <si>
    <t>Fiscal Year 2016</t>
  </si>
  <si>
    <t>Fiscal Year 2017</t>
  </si>
  <si>
    <t>Fiscal Year 2018</t>
  </si>
  <si>
    <t>Fiscal Year 2019</t>
  </si>
  <si>
    <t>Fiscal Year 2020</t>
  </si>
  <si>
    <t>Fiscal Year 2021</t>
  </si>
  <si>
    <r>
      <t>Charitable Assets</t>
    </r>
    <r>
      <rPr>
        <sz val="11"/>
        <color indexed="8"/>
        <rFont val="Calibri"/>
        <family val="2"/>
        <scheme val="minor"/>
      </rPr>
      <t xml:space="preserve">  (in millions of dollars)</t>
    </r>
  </si>
  <si>
    <t>Beginning of Period</t>
  </si>
  <si>
    <t>Donations</t>
  </si>
  <si>
    <t>Grants and Other Distributions to Charity</t>
  </si>
  <si>
    <t>w custodial</t>
  </si>
  <si>
    <t>Investment Income, Gains and Losses*</t>
  </si>
  <si>
    <t>Fees</t>
  </si>
  <si>
    <t>End of Period**</t>
  </si>
  <si>
    <t xml:space="preserve">      45200 Dividends</t>
  </si>
  <si>
    <t>*  Including both realized and unrealized gains and losses.</t>
  </si>
  <si>
    <t>Number of Funds, End of Period</t>
  </si>
  <si>
    <t>Type</t>
  </si>
  <si>
    <t>(Multiple Items)</t>
  </si>
  <si>
    <t>FY</t>
  </si>
  <si>
    <t>Values</t>
  </si>
  <si>
    <t>Grand Total</t>
  </si>
  <si>
    <t>Sum of Beginning Balance</t>
  </si>
  <si>
    <t>Sum of Receipts</t>
  </si>
  <si>
    <t>Sum of Disbursements</t>
  </si>
  <si>
    <t>Sum of Income, Gains &amp; Losses</t>
  </si>
  <si>
    <t>Sum of Fees</t>
  </si>
  <si>
    <t>Sum of Ending Balance</t>
  </si>
  <si>
    <t>Fiscal Year 2022</t>
  </si>
  <si>
    <t>Donor-Advised Fund Assets</t>
  </si>
  <si>
    <t>May</t>
  </si>
  <si>
    <t>June</t>
  </si>
  <si>
    <t xml:space="preserve">      45300 Realized Gains and Losses</t>
  </si>
  <si>
    <t>Fiscal 2023</t>
  </si>
  <si>
    <t>Supplies</t>
  </si>
  <si>
    <t>Amy</t>
  </si>
  <si>
    <t>Kim</t>
  </si>
  <si>
    <t>Linda</t>
  </si>
  <si>
    <t>Website</t>
  </si>
  <si>
    <t>Training</t>
  </si>
  <si>
    <t>Travel</t>
  </si>
  <si>
    <t>Budget for Continuing Operations</t>
  </si>
  <si>
    <t>Additional Revenue and Spending for L&amp;L Program</t>
  </si>
  <si>
    <t>Variance</t>
  </si>
  <si>
    <t xml:space="preserve">   60000 L&amp;L Event</t>
  </si>
  <si>
    <t>12.31.2021</t>
  </si>
  <si>
    <t>High</t>
  </si>
  <si>
    <t xml:space="preserve">      Withdrawal from Reserves</t>
  </si>
  <si>
    <t xml:space="preserve">     Training</t>
  </si>
  <si>
    <t>Fiscal Year 2023</t>
  </si>
  <si>
    <t>FY 2013 - FY 2023</t>
  </si>
  <si>
    <t xml:space="preserve">Budget vs. Actuals: FY 2023 Budget - FY23 P&amp;L </t>
  </si>
  <si>
    <t xml:space="preserve">      Total 43440 Fee Income</t>
  </si>
  <si>
    <t xml:space="preserve">      43450 L&amp;L HGF Grant</t>
  </si>
  <si>
    <t xml:space="preserve">   60000.1 Incentive Grants</t>
  </si>
  <si>
    <t xml:space="preserve">      68311 Training</t>
  </si>
  <si>
    <t xml:space="preserve">   Scholarship Awards</t>
  </si>
  <si>
    <t>Life and Legacy Grinspoon</t>
  </si>
  <si>
    <t>Permanently restricted</t>
  </si>
  <si>
    <t>Temporarily restricted</t>
  </si>
  <si>
    <t>Unrestricted DAF</t>
  </si>
  <si>
    <t>Unrestricted Funds</t>
  </si>
  <si>
    <t>Fundraising</t>
  </si>
  <si>
    <t>Mgmt &amp; Gen.</t>
  </si>
  <si>
    <t>Prog. Svs. Exp.</t>
  </si>
  <si>
    <t>Netcentric IT Management, Inc.</t>
  </si>
  <si>
    <t>less revenue than budget</t>
  </si>
  <si>
    <t>less expense than budget</t>
  </si>
  <si>
    <t>greater expense than budget</t>
  </si>
  <si>
    <t>A/R Aging Summary</t>
  </si>
  <si>
    <t>Revenue shortfall</t>
  </si>
  <si>
    <t>Expense less than budget</t>
  </si>
  <si>
    <t>Non-profit Accounting Solutions, LLC</t>
  </si>
  <si>
    <t>actual</t>
  </si>
  <si>
    <t>budget</t>
  </si>
  <si>
    <t>Operating</t>
  </si>
  <si>
    <t>Grinspoon Foundation</t>
  </si>
  <si>
    <t>As of March 31, 2023</t>
  </si>
  <si>
    <t>For Management use only</t>
  </si>
  <si>
    <t>Saturday, Apr 22, 2023 04:44:17 PM GMT-7 - Accrual Basis</t>
  </si>
  <si>
    <t>Saturday, Apr 22, 2023 04:46:19 PM GMT-7</t>
  </si>
  <si>
    <t>Saturday, Apr 22, 2023 04:45:50 PM GMT-7</t>
  </si>
  <si>
    <t>Estimated</t>
  </si>
  <si>
    <t>April</t>
  </si>
  <si>
    <t>Sub-Total</t>
  </si>
  <si>
    <t>Fiscal 2024</t>
  </si>
  <si>
    <t>increase</t>
  </si>
  <si>
    <t>Current Rate</t>
  </si>
  <si>
    <t>Hrs per wk</t>
  </si>
  <si>
    <t>Extended</t>
  </si>
  <si>
    <t>Rate</t>
  </si>
  <si>
    <t>Week</t>
  </si>
  <si>
    <t>Annual</t>
  </si>
  <si>
    <t>Amt accrued for Renaissance</t>
  </si>
  <si>
    <t xml:space="preserve">  JFedShaw Grinspoon Grant</t>
  </si>
  <si>
    <t>Total Proposed Budget</t>
  </si>
  <si>
    <t xml:space="preserve">  Incentive Grants</t>
  </si>
  <si>
    <t xml:space="preserve">  Payroll  and Consulting Fees</t>
  </si>
  <si>
    <t xml:space="preserve">  Professional Fees</t>
  </si>
  <si>
    <t xml:space="preserve">  Third Party Processing Fee</t>
  </si>
  <si>
    <t xml:space="preserve">  Office Expenses</t>
  </si>
  <si>
    <t xml:space="preserve">  Other</t>
  </si>
  <si>
    <t>Asset Summary as of April 30, 2023</t>
  </si>
  <si>
    <t>04.30.2023</t>
  </si>
  <si>
    <t>As of April 30, 2023</t>
  </si>
  <si>
    <t>Saturday, May 20, 2023 05:23:26 PM GMT-7 - Accrual Basis</t>
  </si>
  <si>
    <t>July 2022 - April 2023</t>
  </si>
  <si>
    <t>Saturday, May 20, 2023 05:24:48 PM GMT-7 - Accrual Basis</t>
  </si>
  <si>
    <t>Notes</t>
  </si>
  <si>
    <t xml:space="preserve">   60009 Third Party Processing Fee</t>
  </si>
  <si>
    <r>
      <t xml:space="preserve">  JFedShaw Grinspoon Grant </t>
    </r>
    <r>
      <rPr>
        <b/>
        <sz val="8"/>
        <color rgb="FFFF0000"/>
        <rFont val="Arial"/>
        <family val="2"/>
      </rPr>
      <t>NEW</t>
    </r>
  </si>
  <si>
    <t xml:space="preserve"> Contributions</t>
  </si>
  <si>
    <t xml:space="preserve"> Fee Income from Portfolio</t>
  </si>
  <si>
    <t>L&amp;L HGF Grant</t>
  </si>
  <si>
    <t xml:space="preserve">      Total Fee Income</t>
  </si>
  <si>
    <t xml:space="preserve">   Total Support and Revenue</t>
  </si>
  <si>
    <t xml:space="preserve">       Interest</t>
  </si>
  <si>
    <t>REVENUE</t>
  </si>
  <si>
    <t>Total Fiscal 2023 Budget</t>
  </si>
  <si>
    <t>EXPENSES</t>
  </si>
  <si>
    <t>May &amp; June</t>
  </si>
  <si>
    <t>Statement of Activity</t>
  </si>
  <si>
    <t>Jewish Community Foundation of Greater Mercer County</t>
  </si>
  <si>
    <t>Based on historical analysis</t>
  </si>
  <si>
    <t>Based on asset base of $14,500,000</t>
  </si>
  <si>
    <t>Set by Grinspoon Foundation</t>
  </si>
  <si>
    <t>Grinspoon Foundation estimate of grants to be distributed</t>
  </si>
  <si>
    <t>JFedShaw Grinspoon grant</t>
  </si>
  <si>
    <t>$24,000 for FidTech; $5,000 for Renaissance</t>
  </si>
  <si>
    <t>Increase</t>
  </si>
  <si>
    <t>Payroll processing</t>
  </si>
  <si>
    <t>PR taxes</t>
  </si>
  <si>
    <t>Acctg: 26,400;  Auditor: 9,500; Legal 1,000</t>
  </si>
  <si>
    <t>Office Expenses</t>
  </si>
  <si>
    <t>Licenses</t>
  </si>
  <si>
    <t xml:space="preserve"> Postage, Mailing Service</t>
  </si>
  <si>
    <t>Printing and Copying</t>
  </si>
  <si>
    <t>Membership Dues</t>
  </si>
  <si>
    <t xml:space="preserve"> Tel/Communication/Internet</t>
  </si>
  <si>
    <t>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</t>
  </si>
  <si>
    <t>L &amp; L Event</t>
  </si>
  <si>
    <t>Bank Fees</t>
  </si>
  <si>
    <t>Rent</t>
  </si>
  <si>
    <t>Promotional Material</t>
  </si>
  <si>
    <t>JCC/Ewing Property</t>
  </si>
  <si>
    <t>Advertising/Promotional</t>
  </si>
  <si>
    <t>Miscellaneous</t>
  </si>
  <si>
    <t>Liability Insurance</t>
  </si>
  <si>
    <t>Conference, Convention, Meeting</t>
  </si>
  <si>
    <t>JFCGM Programs</t>
  </si>
  <si>
    <t>Board Meeting Expenses</t>
  </si>
  <si>
    <t>See below</t>
  </si>
  <si>
    <t>Estimated 07/01/22 - 06/30/23</t>
  </si>
  <si>
    <t>Actual      07/01/22 - 04/30/23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</si>
</sst>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_€"/>
    <numFmt numFmtId="165" formatCode="&quot;$&quot;* #,##0.00\ _€"/>
    <numFmt numFmtId="166" formatCode="&quot;$&quot;#,##0"/>
    <numFmt numFmtId="167" formatCode="_(* #,##0_);_(* \(#,##0\);_(* &quot;-&quot;??_);_(@_)"/>
    <numFmt numFmtId="168" formatCode="_(&quot;$&quot;* #,##0_);_(&quot;$&quot;* \(#,##0\);_(&quot;$&quot;* &quot;-&quot;??_);_(@_)"/>
    <numFmt numFmtId="169" formatCode="_(* #,##0.0_);_(* \(#,##0.0\);_(* &quot;-&quot;??_);_(@_)"/>
    <numFmt numFmtId="170" formatCode="_(&quot;$&quot;* #,##0.0_);_(&quot;$&quot;* \(#,##0.0\);_(&quot;$&quot;* &quot;-&quot;??_);_(@_)"/>
    <numFmt numFmtId="171" formatCode="_(* #,##0.000_);_(* \(#,##0.000\);_(* &quot;-&quot;??_);_(@_)"/>
  </numFmts>
  <fonts count="3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Calibri"/>
      <family val="2"/>
      <scheme val="minor"/>
    </font>
    <font>
      <b/>
      <sz val="8"/>
      <color indexed="8"/>
      <name val="Arial"/>
    </font>
    <font>
      <sz val="8"/>
      <color indexed="8"/>
      <name val="Arial"/>
    </font>
    <font>
      <b/>
      <sz val="8"/>
      <color rgb="FFFF0000"/>
      <name val="Arial"/>
      <family val="2"/>
    </font>
    <font>
      <sz val="14"/>
      <color indexed="8"/>
      <name val="Calibri"/>
      <family val="2"/>
      <scheme val="minor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/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277">
    <xf numFmtId="0" fontId="0" fillId="0" borderId="0" xfId="0"/>
    <xf numFmtId="0" fontId="0" fillId="0" borderId="0" xfId="0" applyAlignment="1">
      <alignment wrapText="1"/>
    </xf>
    <xf numFmtId="164" fontId="3" fillId="0" borderId="0" xfId="0" applyNumberFormat="1" applyFont="1" applyAlignment="1">
      <alignment wrapText="1"/>
    </xf>
    <xf numFmtId="0" fontId="4" fillId="0" borderId="0" xfId="0" applyFont="1" applyAlignment="1">
      <alignment horizontal="left" wrapText="1"/>
    </xf>
    <xf numFmtId="165" fontId="4" fillId="0" borderId="2" xfId="0" applyNumberFormat="1" applyFont="1" applyBorder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0" fontId="12" fillId="0" borderId="0" xfId="4" applyFont="1"/>
    <xf numFmtId="167" fontId="1" fillId="0" borderId="0" xfId="5" applyNumberFormat="1" applyFont="1" applyAlignment="1">
      <alignment vertical="center"/>
    </xf>
    <xf numFmtId="167" fontId="1" fillId="0" borderId="0" xfId="5" applyNumberFormat="1" applyFont="1"/>
    <xf numFmtId="3" fontId="12" fillId="0" borderId="0" xfId="4" applyNumberFormat="1" applyFont="1" applyAlignment="1">
      <alignment wrapText="1"/>
    </xf>
    <xf numFmtId="3" fontId="12" fillId="0" borderId="0" xfId="4" quotePrefix="1" applyNumberFormat="1" applyFont="1" applyAlignment="1">
      <alignment wrapText="1"/>
    </xf>
    <xf numFmtId="0" fontId="12" fillId="0" borderId="0" xfId="4" applyFont="1" applyAlignment="1">
      <alignment horizontal="left"/>
    </xf>
    <xf numFmtId="168" fontId="12" fillId="0" borderId="0" xfId="2" applyNumberFormat="1" applyFont="1" applyBorder="1" applyAlignment="1">
      <alignment vertical="center"/>
    </xf>
    <xf numFmtId="167" fontId="12" fillId="0" borderId="0" xfId="5" applyNumberFormat="1" applyFont="1" applyBorder="1" applyAlignment="1">
      <alignment wrapText="1"/>
    </xf>
    <xf numFmtId="167" fontId="13" fillId="0" borderId="1" xfId="5" applyNumberFormat="1" applyFont="1" applyBorder="1" applyAlignment="1">
      <alignment horizontal="center"/>
    </xf>
    <xf numFmtId="0" fontId="13" fillId="0" borderId="0" xfId="4" applyFont="1"/>
    <xf numFmtId="167" fontId="13" fillId="0" borderId="0" xfId="5" applyNumberFormat="1" applyFont="1"/>
    <xf numFmtId="42" fontId="12" fillId="0" borderId="0" xfId="6" applyNumberFormat="1" applyFont="1" applyBorder="1" applyAlignment="1">
      <alignment vertical="center"/>
    </xf>
    <xf numFmtId="0" fontId="12" fillId="0" borderId="0" xfId="4" applyFont="1" applyAlignment="1">
      <alignment horizontal="left" indent="1"/>
    </xf>
    <xf numFmtId="167" fontId="12" fillId="0" borderId="0" xfId="1" applyNumberFormat="1" applyFont="1" applyBorder="1" applyAlignment="1">
      <alignment vertical="center" wrapText="1"/>
    </xf>
    <xf numFmtId="42" fontId="13" fillId="0" borderId="0" xfId="6" applyNumberFormat="1" applyFont="1" applyBorder="1" applyAlignment="1">
      <alignment vertical="center"/>
    </xf>
    <xf numFmtId="167" fontId="12" fillId="0" borderId="0" xfId="1" applyNumberFormat="1" applyFont="1"/>
    <xf numFmtId="0" fontId="1" fillId="0" borderId="0" xfId="0" applyFont="1"/>
    <xf numFmtId="167" fontId="12" fillId="0" borderId="0" xfId="1" applyNumberFormat="1" applyFont="1" applyAlignment="1">
      <alignment vertical="center"/>
    </xf>
    <xf numFmtId="167" fontId="13" fillId="0" borderId="0" xfId="5" quotePrefix="1" applyNumberFormat="1" applyFont="1"/>
    <xf numFmtId="167" fontId="12" fillId="0" borderId="0" xfId="1" applyNumberFormat="1" applyFont="1" applyBorder="1"/>
    <xf numFmtId="43" fontId="12" fillId="0" borderId="0" xfId="4" applyNumberFormat="1" applyFont="1"/>
    <xf numFmtId="167" fontId="12" fillId="0" borderId="0" xfId="1" applyNumberFormat="1" applyFont="1" applyBorder="1" applyAlignment="1">
      <alignment vertical="center"/>
    </xf>
    <xf numFmtId="167" fontId="13" fillId="0" borderId="0" xfId="1" applyNumberFormat="1" applyFont="1" applyBorder="1" applyAlignment="1">
      <alignment horizontal="right"/>
    </xf>
    <xf numFmtId="167" fontId="13" fillId="0" borderId="0" xfId="5" applyNumberFormat="1" applyFont="1" applyBorder="1" applyAlignment="1">
      <alignment horizontal="left" wrapText="1" indent="1"/>
    </xf>
    <xf numFmtId="167" fontId="13" fillId="0" borderId="1" xfId="5" applyNumberFormat="1" applyFont="1" applyFill="1" applyBorder="1" applyAlignment="1">
      <alignment horizontal="right"/>
    </xf>
    <xf numFmtId="167" fontId="12" fillId="0" borderId="0" xfId="4" applyNumberFormat="1" applyFont="1"/>
    <xf numFmtId="168" fontId="13" fillId="0" borderId="3" xfId="6" applyNumberFormat="1" applyFont="1" applyBorder="1" applyAlignment="1">
      <alignment horizontal="right"/>
    </xf>
    <xf numFmtId="168" fontId="13" fillId="0" borderId="0" xfId="6" applyNumberFormat="1" applyFont="1" applyBorder="1" applyAlignment="1">
      <alignment horizontal="right"/>
    </xf>
    <xf numFmtId="43" fontId="12" fillId="0" borderId="0" xfId="1" applyFont="1"/>
    <xf numFmtId="44" fontId="12" fillId="0" borderId="0" xfId="4" applyNumberFormat="1" applyFont="1"/>
    <xf numFmtId="43" fontId="12" fillId="0" borderId="0" xfId="1" applyFont="1" applyBorder="1"/>
    <xf numFmtId="0" fontId="15" fillId="0" borderId="0" xfId="4" applyFont="1"/>
    <xf numFmtId="0" fontId="17" fillId="0" borderId="0" xfId="0" applyFont="1" applyAlignment="1">
      <alignment horizontal="center"/>
    </xf>
    <xf numFmtId="0" fontId="9" fillId="0" borderId="0" xfId="0" applyFont="1"/>
    <xf numFmtId="169" fontId="9" fillId="0" borderId="1" xfId="1" applyNumberFormat="1" applyFont="1" applyBorder="1" applyAlignment="1">
      <alignment horizontal="center" wrapText="1"/>
    </xf>
    <xf numFmtId="169" fontId="9" fillId="0" borderId="4" xfId="1" applyNumberFormat="1" applyFont="1" applyBorder="1" applyAlignment="1">
      <alignment horizontal="center" wrapText="1"/>
    </xf>
    <xf numFmtId="0" fontId="15" fillId="0" borderId="5" xfId="4" applyFont="1" applyBorder="1"/>
    <xf numFmtId="0" fontId="18" fillId="0" borderId="0" xfId="0" applyFont="1"/>
    <xf numFmtId="169" fontId="15" fillId="0" borderId="0" xfId="1" applyNumberFormat="1" applyFont="1"/>
    <xf numFmtId="0" fontId="15" fillId="0" borderId="6" xfId="4" applyFont="1" applyBorder="1"/>
    <xf numFmtId="0" fontId="15" fillId="0" borderId="7" xfId="4" applyFont="1" applyBorder="1"/>
    <xf numFmtId="169" fontId="1" fillId="0" borderId="0" xfId="1" applyNumberFormat="1" applyFont="1" applyBorder="1"/>
    <xf numFmtId="169" fontId="1" fillId="0" borderId="0" xfId="1" applyNumberFormat="1" applyFont="1"/>
    <xf numFmtId="169" fontId="15" fillId="0" borderId="6" xfId="1" applyNumberFormat="1" applyFont="1" applyBorder="1"/>
    <xf numFmtId="170" fontId="19" fillId="0" borderId="0" xfId="2" applyNumberFormat="1" applyFont="1" applyBorder="1"/>
    <xf numFmtId="0" fontId="19" fillId="0" borderId="0" xfId="0" applyFont="1"/>
    <xf numFmtId="169" fontId="19" fillId="0" borderId="0" xfId="1" applyNumberFormat="1" applyFont="1" applyBorder="1"/>
    <xf numFmtId="169" fontId="19" fillId="0" borderId="6" xfId="1" applyNumberFormat="1" applyFont="1" applyBorder="1"/>
    <xf numFmtId="169" fontId="19" fillId="0" borderId="1" xfId="1" applyNumberFormat="1" applyFont="1" applyBorder="1"/>
    <xf numFmtId="169" fontId="19" fillId="0" borderId="8" xfId="1" applyNumberFormat="1" applyFont="1" applyBorder="1"/>
    <xf numFmtId="0" fontId="15" fillId="0" borderId="8" xfId="4" applyFont="1" applyBorder="1"/>
    <xf numFmtId="167" fontId="1" fillId="0" borderId="0" xfId="1" applyNumberFormat="1" applyFont="1"/>
    <xf numFmtId="43" fontId="19" fillId="0" borderId="0" xfId="1" applyFont="1" applyBorder="1"/>
    <xf numFmtId="167" fontId="15" fillId="0" borderId="0" xfId="1" applyNumberFormat="1" applyFont="1"/>
    <xf numFmtId="169" fontId="19" fillId="0" borderId="3" xfId="1" applyNumberFormat="1" applyFont="1" applyBorder="1"/>
    <xf numFmtId="169" fontId="19" fillId="0" borderId="10" xfId="1" applyNumberFormat="1" applyFont="1" applyBorder="1"/>
    <xf numFmtId="0" fontId="15" fillId="0" borderId="11" xfId="4" applyFont="1" applyBorder="1"/>
    <xf numFmtId="171" fontId="1" fillId="0" borderId="0" xfId="0" applyNumberFormat="1" applyFont="1"/>
    <xf numFmtId="0" fontId="1" fillId="0" borderId="9" xfId="0" applyFont="1" applyBorder="1"/>
    <xf numFmtId="44" fontId="15" fillId="0" borderId="0" xfId="4" applyNumberFormat="1" applyFont="1"/>
    <xf numFmtId="167" fontId="15" fillId="0" borderId="0" xfId="4" applyNumberFormat="1" applyFont="1"/>
    <xf numFmtId="9" fontId="19" fillId="0" borderId="0" xfId="3" applyFont="1" applyBorder="1"/>
    <xf numFmtId="170" fontId="0" fillId="0" borderId="0" xfId="2" applyNumberFormat="1" applyFont="1" applyFill="1" applyBorder="1"/>
    <xf numFmtId="0" fontId="1" fillId="0" borderId="0" xfId="0" applyFont="1" applyAlignment="1">
      <alignment horizontal="left"/>
    </xf>
    <xf numFmtId="170" fontId="19" fillId="0" borderId="0" xfId="2" applyNumberFormat="1" applyFont="1" applyFill="1" applyBorder="1"/>
    <xf numFmtId="167" fontId="19" fillId="0" borderId="3" xfId="1" applyNumberFormat="1" applyFont="1" applyFill="1" applyBorder="1"/>
    <xf numFmtId="167" fontId="0" fillId="0" borderId="0" xfId="0" applyNumberFormat="1"/>
    <xf numFmtId="167" fontId="20" fillId="0" borderId="0" xfId="0" applyNumberFormat="1" applyFont="1"/>
    <xf numFmtId="167" fontId="20" fillId="3" borderId="0" xfId="0" applyNumberFormat="1" applyFont="1" applyFill="1"/>
    <xf numFmtId="167" fontId="0" fillId="0" borderId="0" xfId="0" pivotButton="1" applyNumberFormat="1"/>
    <xf numFmtId="4" fontId="0" fillId="0" borderId="0" xfId="0" applyNumberFormat="1"/>
    <xf numFmtId="165" fontId="0" fillId="0" borderId="0" xfId="0" applyNumberFormat="1"/>
    <xf numFmtId="44" fontId="0" fillId="0" borderId="0" xfId="0" applyNumberFormat="1"/>
    <xf numFmtId="164" fontId="0" fillId="0" borderId="0" xfId="0" applyNumberFormat="1"/>
    <xf numFmtId="0" fontId="12" fillId="0" borderId="0" xfId="4" quotePrefix="1" applyFont="1"/>
    <xf numFmtId="43" fontId="0" fillId="0" borderId="0" xfId="1" applyFont="1"/>
    <xf numFmtId="167" fontId="0" fillId="0" borderId="0" xfId="1" applyNumberFormat="1" applyFont="1"/>
    <xf numFmtId="167" fontId="0" fillId="0" borderId="0" xfId="1" applyNumberFormat="1" applyFont="1" applyFill="1"/>
    <xf numFmtId="0" fontId="5" fillId="0" borderId="0" xfId="0" applyFont="1" applyAlignment="1">
      <alignment horizontal="center" wrapText="1"/>
    </xf>
    <xf numFmtId="43" fontId="0" fillId="0" borderId="0" xfId="0" applyNumberFormat="1"/>
    <xf numFmtId="0" fontId="0" fillId="0" borderId="1" xfId="0" applyBorder="1"/>
    <xf numFmtId="0" fontId="2" fillId="0" borderId="0" xfId="0" applyFont="1" applyAlignment="1">
      <alignment horizontal="center"/>
    </xf>
    <xf numFmtId="167" fontId="4" fillId="0" borderId="2" xfId="1" applyNumberFormat="1" applyFont="1" applyBorder="1" applyAlignment="1">
      <alignment horizontal="right" wrapText="1"/>
    </xf>
    <xf numFmtId="167" fontId="3" fillId="0" borderId="0" xfId="1" applyNumberFormat="1" applyFont="1" applyAlignment="1">
      <alignment wrapText="1"/>
    </xf>
    <xf numFmtId="167" fontId="3" fillId="0" borderId="0" xfId="1" applyNumberFormat="1" applyFont="1" applyAlignment="1">
      <alignment horizontal="right" wrapText="1"/>
    </xf>
    <xf numFmtId="167" fontId="12" fillId="0" borderId="1" xfId="1" applyNumberFormat="1" applyFont="1" applyBorder="1"/>
    <xf numFmtId="167" fontId="4" fillId="0" borderId="0" xfId="1" applyNumberFormat="1" applyFont="1" applyAlignment="1">
      <alignment horizontal="right" wrapText="1"/>
    </xf>
    <xf numFmtId="167" fontId="4" fillId="0" borderId="0" xfId="1" applyNumberFormat="1" applyFont="1" applyFill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165" fontId="0" fillId="0" borderId="1" xfId="0" applyNumberFormat="1" applyBorder="1"/>
    <xf numFmtId="44" fontId="0" fillId="0" borderId="19" xfId="0" applyNumberFormat="1" applyBorder="1"/>
    <xf numFmtId="0" fontId="22" fillId="0" borderId="0" xfId="0" applyFont="1"/>
    <xf numFmtId="169" fontId="19" fillId="0" borderId="9" xfId="1" applyNumberFormat="1" applyFont="1" applyBorder="1"/>
    <xf numFmtId="164" fontId="0" fillId="0" borderId="1" xfId="0" applyNumberFormat="1" applyBorder="1"/>
    <xf numFmtId="0" fontId="23" fillId="0" borderId="1" xfId="0" applyFont="1" applyBorder="1" applyAlignment="1">
      <alignment horizontal="center" wrapText="1"/>
    </xf>
    <xf numFmtId="0" fontId="24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1" xfId="0" applyFont="1" applyBorder="1"/>
    <xf numFmtId="44" fontId="3" fillId="0" borderId="12" xfId="0" applyNumberFormat="1" applyFont="1" applyBorder="1"/>
    <xf numFmtId="44" fontId="3" fillId="0" borderId="0" xfId="0" applyNumberFormat="1" applyFont="1"/>
    <xf numFmtId="165" fontId="4" fillId="0" borderId="0" xfId="0" applyNumberFormat="1" applyFont="1" applyAlignment="1">
      <alignment horizontal="right" wrapText="1"/>
    </xf>
    <xf numFmtId="0" fontId="5" fillId="0" borderId="7" xfId="0" applyFont="1" applyBorder="1" applyAlignment="1">
      <alignment horizontal="center" wrapText="1"/>
    </xf>
    <xf numFmtId="0" fontId="0" fillId="0" borderId="7" xfId="0" applyBorder="1"/>
    <xf numFmtId="165" fontId="4" fillId="0" borderId="20" xfId="0" applyNumberFormat="1" applyFont="1" applyBorder="1" applyAlignment="1">
      <alignment horizontal="right" wrapText="1"/>
    </xf>
    <xf numFmtId="0" fontId="3" fillId="0" borderId="7" xfId="0" applyFont="1" applyBorder="1"/>
    <xf numFmtId="0" fontId="3" fillId="0" borderId="8" xfId="0" applyFont="1" applyBorder="1"/>
    <xf numFmtId="44" fontId="3" fillId="0" borderId="5" xfId="0" applyNumberFormat="1" applyFont="1" applyBorder="1"/>
    <xf numFmtId="44" fontId="3" fillId="0" borderId="7" xfId="0" applyNumberFormat="1" applyFont="1" applyBorder="1"/>
    <xf numFmtId="0" fontId="25" fillId="0" borderId="0" xfId="0" applyFont="1"/>
    <xf numFmtId="0" fontId="25" fillId="0" borderId="1" xfId="0" applyFont="1" applyBorder="1"/>
    <xf numFmtId="0" fontId="0" fillId="4" borderId="0" xfId="0" applyFill="1"/>
    <xf numFmtId="0" fontId="0" fillId="0" borderId="0" xfId="0" applyAlignment="1">
      <alignment horizontal="center" wrapText="1"/>
    </xf>
    <xf numFmtId="9" fontId="0" fillId="0" borderId="0" xfId="3" applyFont="1"/>
    <xf numFmtId="0" fontId="0" fillId="0" borderId="16" xfId="0" applyBorder="1"/>
    <xf numFmtId="43" fontId="25" fillId="0" borderId="0" xfId="1" applyFont="1" applyFill="1"/>
    <xf numFmtId="167" fontId="25" fillId="0" borderId="0" xfId="1" applyNumberFormat="1" applyFont="1" applyFill="1"/>
    <xf numFmtId="167" fontId="25" fillId="0" borderId="1" xfId="1" applyNumberFormat="1" applyFont="1" applyFill="1" applyBorder="1"/>
    <xf numFmtId="167" fontId="4" fillId="0" borderId="2" xfId="1" applyNumberFormat="1" applyFont="1" applyFill="1" applyBorder="1" applyAlignment="1">
      <alignment horizontal="right" wrapText="1"/>
    </xf>
    <xf numFmtId="167" fontId="25" fillId="0" borderId="0" xfId="1" applyNumberFormat="1" applyFont="1" applyFill="1" applyBorder="1"/>
    <xf numFmtId="167" fontId="3" fillId="0" borderId="12" xfId="1" applyNumberFormat="1" applyFont="1" applyFill="1" applyBorder="1"/>
    <xf numFmtId="168" fontId="3" fillId="0" borderId="0" xfId="0" applyNumberFormat="1" applyFont="1"/>
    <xf numFmtId="165" fontId="4" fillId="0" borderId="7" xfId="0" applyNumberFormat="1" applyFont="1" applyBorder="1" applyAlignment="1">
      <alignment horizontal="right" wrapText="1"/>
    </xf>
    <xf numFmtId="167" fontId="4" fillId="0" borderId="0" xfId="1" applyNumberFormat="1" applyFont="1" applyFill="1" applyBorder="1" applyAlignment="1">
      <alignment horizontal="right" wrapText="1"/>
    </xf>
    <xf numFmtId="0" fontId="0" fillId="0" borderId="1" xfId="0" applyBorder="1" applyAlignment="1">
      <alignment horizontal="center" wrapText="1"/>
    </xf>
    <xf numFmtId="0" fontId="4" fillId="0" borderId="0" xfId="0" applyFont="1" applyAlignment="1">
      <alignment horizontal="right" wrapText="1"/>
    </xf>
    <xf numFmtId="0" fontId="26" fillId="0" borderId="0" xfId="0" applyFont="1" applyAlignment="1">
      <alignment horizontal="left" wrapText="1"/>
    </xf>
    <xf numFmtId="164" fontId="27" fillId="0" borderId="0" xfId="0" applyNumberFormat="1" applyFont="1" applyAlignment="1">
      <alignment wrapText="1"/>
    </xf>
    <xf numFmtId="164" fontId="27" fillId="0" borderId="0" xfId="0" applyNumberFormat="1" applyFont="1" applyAlignment="1">
      <alignment horizontal="right" wrapText="1"/>
    </xf>
    <xf numFmtId="165" fontId="26" fillId="0" borderId="2" xfId="0" applyNumberFormat="1" applyFont="1" applyBorder="1" applyAlignment="1">
      <alignment horizontal="right" wrapText="1"/>
    </xf>
    <xf numFmtId="10" fontId="27" fillId="0" borderId="0" xfId="0" applyNumberFormat="1" applyFont="1" applyAlignment="1">
      <alignment horizontal="right" wrapText="1"/>
    </xf>
    <xf numFmtId="10" fontId="26" fillId="0" borderId="2" xfId="0" applyNumberFormat="1" applyFont="1" applyBorder="1" applyAlignment="1">
      <alignment horizontal="right" wrapText="1"/>
    </xf>
    <xf numFmtId="0" fontId="0" fillId="1" borderId="0" xfId="0" applyFill="1"/>
    <xf numFmtId="0" fontId="5" fillId="1" borderId="0" xfId="0" applyFont="1" applyFill="1" applyAlignment="1">
      <alignment horizontal="center" wrapText="1"/>
    </xf>
    <xf numFmtId="0" fontId="0" fillId="5" borderId="0" xfId="0" applyFill="1"/>
    <xf numFmtId="0" fontId="5" fillId="5" borderId="0" xfId="0" applyFont="1" applyFill="1" applyAlignment="1">
      <alignment horizontal="center" wrapText="1"/>
    </xf>
    <xf numFmtId="44" fontId="25" fillId="0" borderId="0" xfId="0" applyNumberFormat="1" applyFont="1"/>
    <xf numFmtId="165" fontId="25" fillId="0" borderId="0" xfId="0" applyNumberFormat="1" applyFont="1"/>
    <xf numFmtId="167" fontId="0" fillId="1" borderId="0" xfId="1" applyNumberFormat="1" applyFont="1" applyFill="1"/>
    <xf numFmtId="167" fontId="0" fillId="0" borderId="7" xfId="1" applyNumberFormat="1" applyFont="1" applyBorder="1"/>
    <xf numFmtId="167" fontId="0" fillId="5" borderId="0" xfId="1" applyNumberFormat="1" applyFont="1" applyFill="1"/>
    <xf numFmtId="167" fontId="3" fillId="0" borderId="1" xfId="1" applyNumberFormat="1" applyFont="1" applyBorder="1" applyAlignment="1">
      <alignment horizontal="right" wrapText="1"/>
    </xf>
    <xf numFmtId="167" fontId="3" fillId="0" borderId="1" xfId="1" applyNumberFormat="1" applyFont="1" applyBorder="1" applyAlignment="1">
      <alignment wrapText="1"/>
    </xf>
    <xf numFmtId="167" fontId="0" fillId="0" borderId="12" xfId="1" applyNumberFormat="1" applyFont="1" applyBorder="1"/>
    <xf numFmtId="167" fontId="4" fillId="0" borderId="1" xfId="1" applyNumberFormat="1" applyFont="1" applyBorder="1" applyAlignment="1">
      <alignment horizontal="right" wrapText="1"/>
    </xf>
    <xf numFmtId="165" fontId="26" fillId="2" borderId="2" xfId="0" applyNumberFormat="1" applyFont="1" applyFill="1" applyBorder="1" applyAlignment="1">
      <alignment horizontal="right" wrapText="1"/>
    </xf>
    <xf numFmtId="167" fontId="4" fillId="0" borderId="3" xfId="1" applyNumberFormat="1" applyFont="1" applyBorder="1" applyAlignment="1">
      <alignment horizontal="right" wrapText="1"/>
    </xf>
    <xf numFmtId="0" fontId="5" fillId="1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164" fontId="3" fillId="0" borderId="21" xfId="0" applyNumberFormat="1" applyFont="1" applyBorder="1" applyAlignment="1">
      <alignment wrapText="1"/>
    </xf>
    <xf numFmtId="167" fontId="3" fillId="0" borderId="6" xfId="1" applyNumberFormat="1" applyFont="1" applyBorder="1" applyAlignment="1">
      <alignment horizontal="right" wrapText="1"/>
    </xf>
    <xf numFmtId="0" fontId="4" fillId="0" borderId="6" xfId="0" applyFont="1" applyBorder="1" applyAlignment="1">
      <alignment horizontal="left" wrapText="1"/>
    </xf>
    <xf numFmtId="0" fontId="29" fillId="0" borderId="0" xfId="0" applyFont="1" applyAlignment="1">
      <alignment horizontal="center"/>
    </xf>
    <xf numFmtId="0" fontId="29" fillId="0" borderId="7" xfId="0" applyFont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167" fontId="0" fillId="4" borderId="0" xfId="1" applyNumberFormat="1" applyFont="1" applyFill="1"/>
    <xf numFmtId="0" fontId="4" fillId="0" borderId="9" xfId="0" applyFont="1" applyBorder="1" applyAlignment="1">
      <alignment horizontal="left" wrapText="1"/>
    </xf>
    <xf numFmtId="167" fontId="4" fillId="0" borderId="7" xfId="1" applyNumberFormat="1" applyFont="1" applyFill="1" applyBorder="1" applyAlignment="1">
      <alignment horizontal="right" wrapText="1"/>
    </xf>
    <xf numFmtId="43" fontId="3" fillId="0" borderId="0" xfId="1" applyFont="1" applyFill="1"/>
    <xf numFmtId="43" fontId="3" fillId="0" borderId="7" xfId="1" applyFont="1" applyFill="1" applyBorder="1"/>
    <xf numFmtId="43" fontId="3" fillId="0" borderId="1" xfId="1" applyFont="1" applyFill="1" applyBorder="1"/>
    <xf numFmtId="43" fontId="25" fillId="0" borderId="9" xfId="1" applyFont="1" applyFill="1" applyBorder="1"/>
    <xf numFmtId="43" fontId="25" fillId="0" borderId="1" xfId="1" applyFont="1" applyFill="1" applyBorder="1"/>
    <xf numFmtId="43" fontId="25" fillId="0" borderId="0" xfId="1" applyFont="1" applyFill="1" applyBorder="1"/>
    <xf numFmtId="0" fontId="25" fillId="0" borderId="9" xfId="0" applyFont="1" applyBorder="1"/>
    <xf numFmtId="167" fontId="3" fillId="0" borderId="0" xfId="1" applyNumberFormat="1" applyFont="1" applyFill="1"/>
    <xf numFmtId="0" fontId="2" fillId="4" borderId="18" xfId="0" applyFont="1" applyFill="1" applyBorder="1" applyAlignment="1">
      <alignment horizontal="center"/>
    </xf>
    <xf numFmtId="167" fontId="30" fillId="0" borderId="6" xfId="1" applyNumberFormat="1" applyFont="1" applyBorder="1" applyAlignment="1">
      <alignment horizontal="right" wrapText="1"/>
    </xf>
    <xf numFmtId="167" fontId="30" fillId="1" borderId="0" xfId="1" applyNumberFormat="1" applyFont="1" applyFill="1"/>
    <xf numFmtId="167" fontId="30" fillId="0" borderId="0" xfId="1" applyNumberFormat="1" applyFont="1"/>
    <xf numFmtId="167" fontId="30" fillId="0" borderId="7" xfId="1" applyNumberFormat="1" applyFont="1" applyBorder="1"/>
    <xf numFmtId="167" fontId="30" fillId="5" borderId="0" xfId="1" applyNumberFormat="1" applyFont="1" applyFill="1" applyAlignment="1">
      <alignment horizontal="right" wrapText="1"/>
    </xf>
    <xf numFmtId="167" fontId="30" fillId="0" borderId="0" xfId="1" applyNumberFormat="1" applyFont="1" applyFill="1"/>
    <xf numFmtId="167" fontId="30" fillId="4" borderId="0" xfId="1" applyNumberFormat="1" applyFont="1" applyFill="1"/>
    <xf numFmtId="167" fontId="30" fillId="1" borderId="1" xfId="1" applyNumberFormat="1" applyFont="1" applyFill="1" applyBorder="1"/>
    <xf numFmtId="167" fontId="30" fillId="0" borderId="1" xfId="1" applyNumberFormat="1" applyFont="1" applyBorder="1"/>
    <xf numFmtId="167" fontId="30" fillId="0" borderId="8" xfId="1" applyNumberFormat="1" applyFont="1" applyBorder="1"/>
    <xf numFmtId="167" fontId="30" fillId="5" borderId="1" xfId="1" applyNumberFormat="1" applyFont="1" applyFill="1" applyBorder="1" applyAlignment="1">
      <alignment horizontal="right" wrapText="1"/>
    </xf>
    <xf numFmtId="167" fontId="30" fillId="0" borderId="1" xfId="1" applyNumberFormat="1" applyFont="1" applyFill="1" applyBorder="1"/>
    <xf numFmtId="167" fontId="5" fillId="0" borderId="21" xfId="1" applyNumberFormat="1" applyFont="1" applyBorder="1" applyAlignment="1">
      <alignment horizontal="right" wrapText="1"/>
    </xf>
    <xf numFmtId="167" fontId="5" fillId="1" borderId="2" xfId="1" applyNumberFormat="1" applyFont="1" applyFill="1" applyBorder="1" applyAlignment="1">
      <alignment horizontal="right" wrapText="1"/>
    </xf>
    <xf numFmtId="167" fontId="5" fillId="0" borderId="2" xfId="1" applyNumberFormat="1" applyFont="1" applyBorder="1" applyAlignment="1">
      <alignment horizontal="right" wrapText="1"/>
    </xf>
    <xf numFmtId="167" fontId="5" fillId="0" borderId="20" xfId="1" applyNumberFormat="1" applyFont="1" applyBorder="1" applyAlignment="1">
      <alignment horizontal="right" wrapText="1"/>
    </xf>
    <xf numFmtId="167" fontId="5" fillId="5" borderId="2" xfId="1" applyNumberFormat="1" applyFont="1" applyFill="1" applyBorder="1" applyAlignment="1">
      <alignment horizontal="right" wrapText="1"/>
    </xf>
    <xf numFmtId="167" fontId="5" fillId="0" borderId="2" xfId="1" applyNumberFormat="1" applyFont="1" applyFill="1" applyBorder="1" applyAlignment="1">
      <alignment horizontal="right" wrapText="1"/>
    </xf>
    <xf numFmtId="167" fontId="5" fillId="4" borderId="2" xfId="1" applyNumberFormat="1" applyFont="1" applyFill="1" applyBorder="1" applyAlignment="1">
      <alignment horizontal="right" wrapText="1"/>
    </xf>
    <xf numFmtId="167" fontId="30" fillId="0" borderId="9" xfId="1" applyNumberFormat="1" applyFont="1" applyBorder="1" applyAlignment="1">
      <alignment horizontal="right" wrapText="1"/>
    </xf>
    <xf numFmtId="167" fontId="30" fillId="1" borderId="1" xfId="1" applyNumberFormat="1" applyFont="1" applyFill="1" applyBorder="1" applyAlignment="1">
      <alignment horizontal="right" wrapText="1"/>
    </xf>
    <xf numFmtId="167" fontId="30" fillId="0" borderId="1" xfId="1" applyNumberFormat="1" applyFont="1" applyBorder="1" applyAlignment="1">
      <alignment horizontal="right" wrapText="1"/>
    </xf>
    <xf numFmtId="167" fontId="30" fillId="0" borderId="8" xfId="1" applyNumberFormat="1" applyFont="1" applyBorder="1" applyAlignment="1">
      <alignment horizontal="right" wrapText="1"/>
    </xf>
    <xf numFmtId="167" fontId="30" fillId="5" borderId="1" xfId="1" applyNumberFormat="1" applyFont="1" applyFill="1" applyBorder="1"/>
    <xf numFmtId="167" fontId="30" fillId="0" borderId="4" xfId="1" applyNumberFormat="1" applyFont="1" applyBorder="1"/>
    <xf numFmtId="167" fontId="30" fillId="1" borderId="0" xfId="1" applyNumberFormat="1" applyFont="1" applyFill="1" applyBorder="1" applyAlignment="1">
      <alignment horizontal="right" wrapText="1"/>
    </xf>
    <xf numFmtId="167" fontId="30" fillId="0" borderId="0" xfId="1" applyNumberFormat="1" applyFont="1" applyBorder="1" applyAlignment="1">
      <alignment horizontal="right" wrapText="1"/>
    </xf>
    <xf numFmtId="167" fontId="30" fillId="0" borderId="7" xfId="1" applyNumberFormat="1" applyFont="1" applyBorder="1" applyAlignment="1">
      <alignment horizontal="right" wrapText="1"/>
    </xf>
    <xf numFmtId="167" fontId="30" fillId="5" borderId="0" xfId="1" applyNumberFormat="1" applyFont="1" applyFill="1"/>
    <xf numFmtId="167" fontId="30" fillId="0" borderId="0" xfId="1" applyNumberFormat="1" applyFont="1" applyBorder="1"/>
    <xf numFmtId="167" fontId="30" fillId="0" borderId="12" xfId="1" applyNumberFormat="1" applyFont="1" applyFill="1" applyBorder="1"/>
    <xf numFmtId="167" fontId="30" fillId="0" borderId="12" xfId="1" applyNumberFormat="1" applyFont="1" applyBorder="1"/>
    <xf numFmtId="167" fontId="30" fillId="4" borderId="12" xfId="1" applyNumberFormat="1" applyFont="1" applyFill="1" applyBorder="1"/>
    <xf numFmtId="167" fontId="5" fillId="0" borderId="6" xfId="1" applyNumberFormat="1" applyFont="1" applyBorder="1" applyAlignment="1">
      <alignment horizontal="right" wrapText="1"/>
    </xf>
    <xf numFmtId="167" fontId="30" fillId="4" borderId="1" xfId="1" applyNumberFormat="1" applyFont="1" applyFill="1" applyBorder="1"/>
    <xf numFmtId="167" fontId="5" fillId="0" borderId="5" xfId="1" applyNumberFormat="1" applyFont="1" applyBorder="1" applyAlignment="1">
      <alignment horizontal="right" wrapText="1"/>
    </xf>
    <xf numFmtId="167" fontId="5" fillId="0" borderId="9" xfId="1" applyNumberFormat="1" applyFont="1" applyBorder="1" applyAlignment="1">
      <alignment horizontal="right" wrapText="1"/>
    </xf>
    <xf numFmtId="167" fontId="5" fillId="1" borderId="1" xfId="1" applyNumberFormat="1" applyFont="1" applyFill="1" applyBorder="1" applyAlignment="1">
      <alignment horizontal="right" wrapText="1"/>
    </xf>
    <xf numFmtId="167" fontId="5" fillId="0" borderId="1" xfId="1" applyNumberFormat="1" applyFont="1" applyBorder="1" applyAlignment="1">
      <alignment horizontal="right" wrapText="1"/>
    </xf>
    <xf numFmtId="167" fontId="5" fillId="0" borderId="8" xfId="1" applyNumberFormat="1" applyFont="1" applyBorder="1" applyAlignment="1">
      <alignment horizontal="right" wrapText="1"/>
    </xf>
    <xf numFmtId="167" fontId="5" fillId="5" borderId="1" xfId="1" applyNumberFormat="1" applyFont="1" applyFill="1" applyBorder="1" applyAlignment="1">
      <alignment horizontal="right" wrapText="1"/>
    </xf>
    <xf numFmtId="167" fontId="5" fillId="0" borderId="1" xfId="1" applyNumberFormat="1" applyFont="1" applyFill="1" applyBorder="1" applyAlignment="1">
      <alignment horizontal="right" wrapText="1"/>
    </xf>
    <xf numFmtId="167" fontId="5" fillId="4" borderId="1" xfId="1" applyNumberFormat="1" applyFont="1" applyFill="1" applyBorder="1" applyAlignment="1">
      <alignment horizontal="right" wrapText="1"/>
    </xf>
    <xf numFmtId="167" fontId="5" fillId="1" borderId="0" xfId="1" applyNumberFormat="1" applyFont="1" applyFill="1" applyAlignment="1">
      <alignment horizontal="right" wrapText="1"/>
    </xf>
    <xf numFmtId="167" fontId="5" fillId="0" borderId="0" xfId="1" applyNumberFormat="1" applyFont="1" applyAlignment="1">
      <alignment horizontal="right" wrapText="1"/>
    </xf>
    <xf numFmtId="167" fontId="5" fillId="0" borderId="7" xfId="1" applyNumberFormat="1" applyFont="1" applyBorder="1" applyAlignment="1">
      <alignment horizontal="right" wrapText="1"/>
    </xf>
    <xf numFmtId="167" fontId="5" fillId="5" borderId="0" xfId="1" applyNumberFormat="1" applyFont="1" applyFill="1" applyAlignment="1">
      <alignment horizontal="right" wrapText="1"/>
    </xf>
    <xf numFmtId="167" fontId="5" fillId="0" borderId="0" xfId="1" applyNumberFormat="1" applyFont="1" applyFill="1" applyBorder="1" applyAlignment="1">
      <alignment horizontal="right" wrapText="1"/>
    </xf>
    <xf numFmtId="167" fontId="5" fillId="0" borderId="0" xfId="1" applyNumberFormat="1" applyFont="1" applyBorder="1" applyAlignment="1">
      <alignment horizontal="right" wrapText="1"/>
    </xf>
    <xf numFmtId="167" fontId="5" fillId="4" borderId="0" xfId="1" applyNumberFormat="1" applyFont="1" applyFill="1" applyBorder="1" applyAlignment="1">
      <alignment horizontal="right" wrapText="1"/>
    </xf>
    <xf numFmtId="167" fontId="30" fillId="0" borderId="0" xfId="1" applyNumberFormat="1" applyFont="1" applyFill="1" applyBorder="1" applyAlignment="1">
      <alignment horizontal="right" wrapText="1"/>
    </xf>
    <xf numFmtId="167" fontId="30" fillId="0" borderId="0" xfId="1" applyNumberFormat="1" applyFont="1" applyAlignment="1">
      <alignment horizontal="right" wrapText="1"/>
    </xf>
    <xf numFmtId="167" fontId="30" fillId="4" borderId="0" xfId="1" applyNumberFormat="1" applyFont="1" applyFill="1" applyBorder="1" applyAlignment="1">
      <alignment horizontal="right" wrapText="1"/>
    </xf>
    <xf numFmtId="167" fontId="30" fillId="0" borderId="1" xfId="1" applyNumberFormat="1" applyFont="1" applyFill="1" applyBorder="1" applyAlignment="1">
      <alignment horizontal="right" wrapText="1"/>
    </xf>
    <xf numFmtId="167" fontId="30" fillId="4" borderId="1" xfId="1" applyNumberFormat="1" applyFont="1" applyFill="1" applyBorder="1" applyAlignment="1">
      <alignment horizontal="right" wrapText="1"/>
    </xf>
    <xf numFmtId="167" fontId="5" fillId="0" borderId="10" xfId="1" applyNumberFormat="1" applyFont="1" applyFill="1" applyBorder="1" applyAlignment="1">
      <alignment horizontal="right" wrapText="1"/>
    </xf>
    <xf numFmtId="167" fontId="5" fillId="0" borderId="3" xfId="1" applyNumberFormat="1" applyFont="1" applyFill="1" applyBorder="1" applyAlignment="1">
      <alignment horizontal="right" wrapText="1"/>
    </xf>
    <xf numFmtId="167" fontId="5" fillId="0" borderId="11" xfId="1" applyNumberFormat="1" applyFont="1" applyFill="1" applyBorder="1" applyAlignment="1">
      <alignment horizontal="right" wrapText="1"/>
    </xf>
    <xf numFmtId="167" fontId="5" fillId="4" borderId="3" xfId="1" applyNumberFormat="1" applyFont="1" applyFill="1" applyBorder="1" applyAlignment="1">
      <alignment horizontal="right" wrapText="1"/>
    </xf>
    <xf numFmtId="167" fontId="5" fillId="0" borderId="0" xfId="1" applyNumberFormat="1" applyFont="1" applyFill="1" applyAlignment="1">
      <alignment horizontal="right" wrapText="1"/>
    </xf>
    <xf numFmtId="167" fontId="5" fillId="0" borderId="7" xfId="1" applyNumberFormat="1" applyFont="1" applyFill="1" applyBorder="1" applyAlignment="1">
      <alignment horizontal="right" wrapText="1"/>
    </xf>
    <xf numFmtId="0" fontId="0" fillId="0" borderId="20" xfId="0" applyBorder="1"/>
    <xf numFmtId="167" fontId="30" fillId="0" borderId="7" xfId="1" applyNumberFormat="1" applyFont="1" applyFill="1" applyBorder="1"/>
    <xf numFmtId="167" fontId="5" fillId="0" borderId="20" xfId="1" applyNumberFormat="1" applyFont="1" applyFill="1" applyBorder="1" applyAlignment="1">
      <alignment horizontal="right" wrapText="1"/>
    </xf>
    <xf numFmtId="167" fontId="30" fillId="0" borderId="8" xfId="1" applyNumberFormat="1" applyFont="1" applyFill="1" applyBorder="1"/>
    <xf numFmtId="167" fontId="5" fillId="0" borderId="8" xfId="1" applyNumberFormat="1" applyFont="1" applyFill="1" applyBorder="1" applyAlignment="1">
      <alignment horizontal="right" wrapText="1"/>
    </xf>
    <xf numFmtId="167" fontId="30" fillId="0" borderId="7" xfId="1" applyNumberFormat="1" applyFont="1" applyFill="1" applyBorder="1" applyAlignment="1">
      <alignment horizontal="right" wrapText="1"/>
    </xf>
    <xf numFmtId="167" fontId="30" fillId="0" borderId="5" xfId="1" applyNumberFormat="1" applyFont="1" applyFill="1" applyBorder="1"/>
    <xf numFmtId="167" fontId="3" fillId="0" borderId="0" xfId="1" applyNumberFormat="1" applyFont="1" applyFill="1" applyBorder="1" applyAlignment="1">
      <alignment horizontal="left" wrapText="1"/>
    </xf>
    <xf numFmtId="167" fontId="0" fillId="0" borderId="19" xfId="0" applyNumberFormat="1" applyBorder="1"/>
    <xf numFmtId="167" fontId="0" fillId="0" borderId="1" xfId="1" applyNumberFormat="1" applyFont="1" applyBorder="1"/>
    <xf numFmtId="0" fontId="4" fillId="0" borderId="13" xfId="0" applyFont="1" applyBorder="1" applyAlignment="1">
      <alignment horizontal="left" wrapText="1"/>
    </xf>
    <xf numFmtId="167" fontId="0" fillId="0" borderId="14" xfId="1" applyNumberFormat="1" applyFont="1" applyBorder="1"/>
    <xf numFmtId="0" fontId="4" fillId="0" borderId="15" xfId="0" applyFont="1" applyBorder="1" applyAlignment="1">
      <alignment horizontal="left" wrapText="1"/>
    </xf>
    <xf numFmtId="167" fontId="0" fillId="0" borderId="16" xfId="1" applyNumberFormat="1" applyFont="1" applyBorder="1"/>
    <xf numFmtId="0" fontId="4" fillId="0" borderId="15" xfId="0" applyFont="1" applyBorder="1" applyAlignment="1">
      <alignment horizontal="left" vertical="top" wrapText="1"/>
    </xf>
    <xf numFmtId="167" fontId="4" fillId="0" borderId="17" xfId="1" applyNumberFormat="1" applyFont="1" applyFill="1" applyBorder="1" applyAlignment="1">
      <alignment horizontal="right" wrapText="1"/>
    </xf>
    <xf numFmtId="167" fontId="0" fillId="0" borderId="22" xfId="1" applyNumberFormat="1" applyFont="1" applyBorder="1"/>
    <xf numFmtId="167" fontId="4" fillId="0" borderId="13" xfId="1" applyNumberFormat="1" applyFont="1" applyFill="1" applyBorder="1" applyAlignment="1">
      <alignment wrapText="1"/>
    </xf>
    <xf numFmtId="167" fontId="0" fillId="0" borderId="14" xfId="1" applyNumberFormat="1" applyFont="1" applyFill="1" applyBorder="1"/>
    <xf numFmtId="0" fontId="4" fillId="0" borderId="15" xfId="0" applyFont="1" applyBorder="1" applyAlignment="1">
      <alignment wrapText="1"/>
    </xf>
    <xf numFmtId="167" fontId="4" fillId="0" borderId="15" xfId="1" applyNumberFormat="1" applyFont="1" applyFill="1" applyBorder="1" applyAlignment="1">
      <alignment wrapText="1"/>
    </xf>
    <xf numFmtId="167" fontId="0" fillId="0" borderId="22" xfId="0" applyNumberFormat="1" applyBorder="1"/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0" fontId="2" fillId="0" borderId="26" xfId="0" applyFont="1" applyBorder="1" applyAlignment="1">
      <alignment horizontal="center"/>
    </xf>
    <xf numFmtId="166" fontId="14" fillId="0" borderId="0" xfId="4" applyNumberFormat="1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166" fontId="14" fillId="0" borderId="0" xfId="4" applyNumberFormat="1" applyFont="1" applyAlignment="1">
      <alignment horizontal="center" vertical="center"/>
    </xf>
    <xf numFmtId="166" fontId="11" fillId="0" borderId="0" xfId="4" applyNumberFormat="1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0" fillId="0" borderId="0" xfId="0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5" fillId="0" borderId="18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</cellXfs>
  <cellStyles count="7">
    <cellStyle name="Comma" xfId="1" builtinId="3"/>
    <cellStyle name="Comma 2" xfId="5" xr:uid="{702DA4A4-DA0E-4F9E-946A-97B52F4BCB45}"/>
    <cellStyle name="Currency" xfId="2" builtinId="4"/>
    <cellStyle name="Currency 2" xfId="6" xr:uid="{CA93C5F4-DD85-4B27-B75E-B4A65C584647}"/>
    <cellStyle name="Normal" xfId="0" builtinId="0"/>
    <cellStyle name="Normal 2" xfId="4" xr:uid="{DFDCD53F-5DAE-4312-926B-13E9B5CB5E9D}"/>
    <cellStyle name="Percent" xfId="3" builtinId="5"/>
  </cellStyles>
  <dxfs count="12">
    <dxf>
      <fill>
        <patternFill patternType="solid">
          <bgColor theme="9" tint="0.59999389629810485"/>
        </patternFill>
      </fill>
    </dxf>
    <dxf>
      <font>
        <sz val="9"/>
      </font>
    </dxf>
    <dxf>
      <font>
        <sz val="9"/>
      </font>
    </dxf>
    <dxf>
      <numFmt numFmtId="167" formatCode="_(* #,##0_);_(* \(#,##0\);_(* &quot;-&quot;??_);_(@_)"/>
    </dxf>
    <dxf>
      <numFmt numFmtId="35" formatCode="_(* #,##0.00_);_(* \(#,##0.0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JLK\Jewish%20Community%20Foundation\Funds\Quarters%20IMPORTANT\2020%20Quarters\Fiscal%202020%20Year%20End\THIS%20ONE%20Custody%20Summary%20of%20Activities%20Report%2007.01.19_06.30.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kalstein/Jewish%20Community%20Foundation/Admin/Budget/June%202020%20Board%20Package/6-30-20%20Report%20v1%20PLUS%20budget%20Report%20(00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of Activities Report"/>
      <sheetName val="Report Details"/>
    </sheetNames>
    <sheetDataSet>
      <sheetData sheetId="0" refreshError="1">
        <row r="46">
          <cell r="E46">
            <v>969842.60999999987</v>
          </cell>
          <cell r="F46">
            <v>-1350442.5</v>
          </cell>
          <cell r="H46">
            <v>-129890.86</v>
          </cell>
        </row>
        <row r="47">
          <cell r="G47">
            <v>45046.31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estions"/>
      <sheetName val="Cover Page"/>
      <sheetName val="Summary Table"/>
      <sheetName val="Funds and Assets Apr 2020"/>
      <sheetName val="FY20 P&amp;L (2)"/>
      <sheetName val="Sheet1"/>
      <sheetName val="SOA Jul19_Apr20"/>
      <sheetName val="Prior&gt;&gt;&gt;&gt;"/>
      <sheetName val="FY20 P&amp;L"/>
      <sheetName val="Q1 &amp; Q2 FY 20"/>
      <sheetName val="FY20 P&amp;L tables"/>
      <sheetName val="FY19 P&amp;L"/>
      <sheetName val="QB P&amp;L"/>
      <sheetName val="JCFGM P&amp;L July 2018 - June 2019"/>
      <sheetName val="FY19 P&amp;L Tables"/>
      <sheetName val="FY19 P&amp;L Mapping"/>
      <sheetName val="SOA FY 2019"/>
      <sheetName val="SOA Jul-Dec 2019"/>
      <sheetName val="Fund Type"/>
      <sheetName val="JE's FY 2019"/>
      <sheetName val="July 2018 - Jan 2019"/>
      <sheetName val="Feb 2019 - June 2019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>
        <row r="134">
          <cell r="D134" t="str">
            <v>Row Labels</v>
          </cell>
        </row>
      </sheetData>
      <sheetData sheetId="7"/>
      <sheetData sheetId="8"/>
      <sheetData sheetId="9"/>
      <sheetData sheetId="10">
        <row r="43">
          <cell r="C43">
            <v>-47081.020000000011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ChipL/Documents/JCF/Treasurer/SOA%20Databas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ip Loeb" refreshedDate="43859.709036574073" createdVersion="6" refreshedVersion="6" minRefreshableVersion="3" recordCount="882" xr:uid="{F404AAF1-54A9-436E-A4EE-436E9676300E}">
  <cacheSource type="worksheet">
    <worksheetSource name="data" r:id="rId2"/>
  </cacheSource>
  <cacheFields count="18">
    <cacheField name="FY" numFmtId="0">
      <sharedItems containsSemiMixedTypes="0" containsString="0" containsNumber="1" containsInteger="1" minValue="13" maxValue="19" count="7">
        <n v="13"/>
        <n v="14"/>
        <n v="15"/>
        <n v="16"/>
        <n v="17"/>
        <n v="18"/>
        <n v="19"/>
      </sharedItems>
    </cacheField>
    <cacheField name="Account No." numFmtId="0">
      <sharedItems/>
    </cacheField>
    <cacheField name="Account Code" numFmtId="0">
      <sharedItems/>
    </cacheField>
    <cacheField name="Type" numFmtId="0">
      <sharedItems count="5">
        <s v="CUST"/>
        <s v="DAF"/>
        <s v="PR"/>
        <s v="UFF"/>
        <s v="TR"/>
      </sharedItems>
    </cacheField>
    <cacheField name="Account Name" numFmtId="0">
      <sharedItems/>
    </cacheField>
    <cacheField name="Beginning Balance" numFmtId="43">
      <sharedItems containsSemiMixedTypes="0" containsString="0" containsNumber="1" minValue="0" maxValue="1569378.5"/>
    </cacheField>
    <cacheField name="Receipts" numFmtId="43">
      <sharedItems containsSemiMixedTypes="0" containsString="0" containsNumber="1" minValue="0" maxValue="504681.43"/>
    </cacheField>
    <cacheField name="Disbursements" numFmtId="43">
      <sharedItems containsSemiMixedTypes="0" containsString="0" containsNumber="1" minValue="-437000" maxValue="500"/>
    </cacheField>
    <cacheField name="Income" numFmtId="43">
      <sharedItems containsSemiMixedTypes="0" containsString="0" containsNumber="1" minValue="0" maxValue="35966.92"/>
    </cacheField>
    <cacheField name="Fees" numFmtId="43">
      <sharedItems containsSemiMixedTypes="0" containsString="0" containsNumber="1" minValue="-13813.08" maxValue="37.5"/>
    </cacheField>
    <cacheField name="Cash Transfers" numFmtId="0">
      <sharedItems containsString="0" containsBlank="1" containsNumber="1" containsInteger="1" minValue="0" maxValue="0"/>
    </cacheField>
    <cacheField name="Realized Gain/Loss" numFmtId="43">
      <sharedItems containsSemiMixedTypes="0" containsString="0" containsNumber="1" minValue="-3478.57" maxValue="16334.85"/>
    </cacheField>
    <cacheField name="Unrealized Gain/Loss" numFmtId="43">
      <sharedItems containsSemiMixedTypes="0" containsString="0" containsNumber="1" minValue="-54034.05" maxValue="196034.6"/>
    </cacheField>
    <cacheField name="Adjustments" numFmtId="43">
      <sharedItems containsSemiMixedTypes="0" containsString="0" containsNumber="1" minValue="-55.21" maxValue="55.21"/>
    </cacheField>
    <cacheField name="Adjusted Realized G/L" numFmtId="43">
      <sharedItems containsSemiMixedTypes="0" containsString="0" containsNumber="1" minValue="-3475.76" maxValue="16334.85"/>
    </cacheField>
    <cacheField name="Ending Balance" numFmtId="43">
      <sharedItems containsSemiMixedTypes="0" containsString="0" containsNumber="1" minValue="0" maxValue="1569378.5"/>
    </cacheField>
    <cacheField name="x" numFmtId="0">
      <sharedItems containsNonDate="0" containsString="0" containsBlank="1"/>
    </cacheField>
    <cacheField name="Income, Gains &amp; Losses" numFmtId="43">
      <sharedItems containsSemiMixedTypes="0" containsString="0" containsNumber="1" minValue="-25197.170000000006" maxValue="239636.7700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2">
  <r>
    <x v="0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0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0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0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0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0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0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0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0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0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0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0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0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0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0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0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0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0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0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0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0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0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0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0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0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0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0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0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0"/>
    <s v="56365"/>
    <s v="FREEMA39"/>
    <x v="1"/>
    <s v="Herbert and Joan Freeman Fund"/>
    <n v="0"/>
    <n v="0"/>
    <n v="0"/>
    <n v="0"/>
    <n v="0"/>
    <n v="0"/>
    <n v="-0.01"/>
    <n v="0"/>
    <n v="0"/>
    <n v="-0.01"/>
    <n v="0"/>
    <m/>
    <n v="-0.01"/>
  </r>
  <r>
    <x v="0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0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0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0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0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0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0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0"/>
    <s v="49564"/>
    <s v="JFCS3"/>
    <x v="0"/>
    <s v="JFCS of Greater Mercer County First LIFE &amp; LEGACY Endowment Fund"/>
    <n v="0"/>
    <n v="0"/>
    <n v="0"/>
    <n v="0"/>
    <n v="0"/>
    <n v="0"/>
    <n v="0"/>
    <n v="0"/>
    <n v="0"/>
    <n v="0"/>
    <n v="0"/>
    <m/>
    <n v="0"/>
  </r>
  <r>
    <x v="0"/>
    <s v="49536"/>
    <s v="CHADAS1"/>
    <x v="0"/>
    <s v="Or Chadash LIFE &amp; LEGACY Endowment Fund"/>
    <n v="0"/>
    <n v="0"/>
    <n v="0"/>
    <n v="0"/>
    <n v="0"/>
    <n v="0"/>
    <n v="0"/>
    <n v="0"/>
    <n v="0"/>
    <n v="0"/>
    <n v="0"/>
    <m/>
    <n v="0"/>
  </r>
  <r>
    <x v="0"/>
    <s v="49525"/>
    <s v="BETHCH1"/>
    <x v="0"/>
    <s v="Beth Chaim LIFE &amp; LEGACY Endowment Fund"/>
    <n v="0"/>
    <n v="0"/>
    <n v="0"/>
    <n v="0"/>
    <n v="0"/>
    <n v="0"/>
    <n v="0"/>
    <n v="0"/>
    <n v="0"/>
    <n v="0"/>
    <n v="0"/>
    <m/>
    <n v="0"/>
  </r>
  <r>
    <x v="0"/>
    <s v="49524"/>
    <s v="ADATH1"/>
    <x v="0"/>
    <s v="Adath Israel LIFE &amp; LEGACY Endowment Fund"/>
    <n v="0"/>
    <n v="0"/>
    <n v="0"/>
    <n v="0"/>
    <n v="0"/>
    <n v="0"/>
    <n v="0"/>
    <n v="0"/>
    <n v="0"/>
    <n v="0"/>
    <n v="0"/>
    <m/>
    <n v="0"/>
  </r>
  <r>
    <x v="0"/>
    <s v="49304"/>
    <s v="JEWISH28"/>
    <x v="0"/>
    <s v="Jewish Center of Princeton Endowment Fund"/>
    <n v="0"/>
    <n v="0"/>
    <n v="0"/>
    <n v="0"/>
    <n v="0"/>
    <n v="0"/>
    <n v="0"/>
    <n v="0"/>
    <n v="0"/>
    <n v="0"/>
    <n v="0"/>
    <m/>
    <n v="0"/>
  </r>
  <r>
    <x v="0"/>
    <s v="49253"/>
    <s v="DAVIDS14"/>
    <x v="1"/>
    <s v="The DADA Fund"/>
    <n v="0"/>
    <n v="0"/>
    <n v="0"/>
    <n v="0"/>
    <n v="0"/>
    <n v="0"/>
    <n v="0"/>
    <n v="0"/>
    <n v="0"/>
    <n v="0"/>
    <n v="0"/>
    <m/>
    <n v="0"/>
  </r>
  <r>
    <x v="0"/>
    <s v="49131"/>
    <s v="MICHAE8"/>
    <x v="1"/>
    <s v="Manning &amp; Hoffman-Manning Charitable Fund"/>
    <n v="0"/>
    <n v="0"/>
    <n v="0"/>
    <n v="0"/>
    <n v="0"/>
    <n v="0"/>
    <n v="0"/>
    <n v="0"/>
    <n v="0"/>
    <n v="0"/>
    <n v="0"/>
    <m/>
    <n v="0"/>
  </r>
  <r>
    <x v="0"/>
    <s v="48855"/>
    <s v="MEISEL2"/>
    <x v="1"/>
    <s v="Zachary, Ava &amp; Stella Kovner Meisel Tzedkah Fund"/>
    <n v="0"/>
    <n v="0"/>
    <n v="0"/>
    <n v="0"/>
    <n v="0"/>
    <n v="0"/>
    <n v="0"/>
    <n v="0"/>
    <n v="0"/>
    <n v="0"/>
    <n v="0"/>
    <m/>
    <n v="0"/>
  </r>
  <r>
    <x v="0"/>
    <s v="48533"/>
    <s v="SNOW3"/>
    <x v="1"/>
    <s v="Nagelberg Philanthropic Fund"/>
    <n v="0"/>
    <n v="0"/>
    <n v="0"/>
    <n v="0"/>
    <n v="0"/>
    <n v="0"/>
    <n v="0"/>
    <n v="0"/>
    <n v="0"/>
    <n v="0"/>
    <n v="0"/>
    <m/>
    <n v="0"/>
  </r>
  <r>
    <x v="0"/>
    <s v="48355"/>
    <s v="FREEMA17"/>
    <x v="1"/>
    <s v="Marsha &amp; Eliot Freeman Family Fund"/>
    <n v="0"/>
    <n v="0"/>
    <n v="0"/>
    <n v="0"/>
    <n v="0"/>
    <n v="0"/>
    <n v="0"/>
    <n v="0"/>
    <n v="0"/>
    <n v="0"/>
    <n v="0"/>
    <m/>
    <n v="0"/>
  </r>
  <r>
    <x v="0"/>
    <s v="48196"/>
    <s v="JEWISH27"/>
    <x v="3"/>
    <s v="Jewish Community Foundation of Greater Mercer LIFE &amp; LEGACY Endowment Fund"/>
    <n v="0"/>
    <n v="0"/>
    <n v="0"/>
    <n v="0"/>
    <n v="0"/>
    <n v="0"/>
    <n v="0"/>
    <n v="0"/>
    <n v="0"/>
    <n v="0"/>
    <n v="0"/>
    <m/>
    <n v="0"/>
  </r>
  <r>
    <x v="0"/>
    <s v="47872"/>
    <s v="WALDOR1"/>
    <x v="1"/>
    <s v="Berman-Waldorf Family Fund"/>
    <n v="0"/>
    <n v="0"/>
    <n v="0"/>
    <n v="0"/>
    <n v="0"/>
    <n v="0"/>
    <n v="0"/>
    <n v="0"/>
    <n v="0"/>
    <n v="0"/>
    <n v="0"/>
    <m/>
    <n v="0"/>
  </r>
  <r>
    <x v="0"/>
    <s v="47724"/>
    <s v="SNOW2"/>
    <x v="1"/>
    <s v="Snow - Nagelberg Philanthropic Fund"/>
    <n v="0"/>
    <n v="0"/>
    <n v="0"/>
    <n v="0"/>
    <n v="0"/>
    <n v="0"/>
    <n v="0"/>
    <n v="0"/>
    <n v="0"/>
    <n v="0"/>
    <n v="0"/>
    <m/>
    <n v="0"/>
  </r>
  <r>
    <x v="0"/>
    <s v="47350"/>
    <s v="FELDMA18"/>
    <x v="1"/>
    <s v="Dena Feldman Fund for Tzedakah"/>
    <n v="0"/>
    <n v="0"/>
    <n v="0"/>
    <n v="0"/>
    <n v="0"/>
    <n v="0"/>
    <n v="0"/>
    <n v="0"/>
    <n v="0"/>
    <n v="0"/>
    <n v="0"/>
    <m/>
    <n v="0"/>
  </r>
  <r>
    <x v="0"/>
    <s v="47349"/>
    <s v="FRAM1"/>
    <x v="1"/>
    <s v="Harvey &amp; Carine Fram Charitable Gift Fund"/>
    <n v="0"/>
    <n v="0"/>
    <n v="0"/>
    <n v="0"/>
    <n v="0"/>
    <n v="0"/>
    <n v="0"/>
    <n v="0"/>
    <n v="0"/>
    <n v="0"/>
    <n v="0"/>
    <m/>
    <n v="0"/>
  </r>
  <r>
    <x v="0"/>
    <s v="46976"/>
    <s v="DAVIDS12"/>
    <x v="1"/>
    <s v="Davidson Philanthropic Fund"/>
    <n v="0"/>
    <n v="0"/>
    <n v="0"/>
    <n v="0"/>
    <n v="0"/>
    <n v="0"/>
    <n v="0"/>
    <n v="0"/>
    <n v="0"/>
    <n v="0"/>
    <n v="0"/>
    <m/>
    <n v="0"/>
  </r>
  <r>
    <x v="0"/>
    <s v="46842"/>
    <s v="FELDST4"/>
    <x v="1"/>
    <s v="Lori and Michael Feldstein Fund"/>
    <n v="0"/>
    <n v="0"/>
    <n v="0"/>
    <n v="0"/>
    <n v="0"/>
    <n v="0"/>
    <n v="0"/>
    <n v="0"/>
    <n v="0"/>
    <n v="0"/>
    <n v="0"/>
    <m/>
    <n v="0"/>
  </r>
  <r>
    <x v="0"/>
    <s v="46751"/>
    <s v="SHAKUN2"/>
    <x v="2"/>
    <s v="Beth El's Future"/>
    <n v="0"/>
    <n v="0"/>
    <n v="0"/>
    <n v="0"/>
    <n v="0"/>
    <n v="0"/>
    <n v="0"/>
    <n v="0"/>
    <n v="0"/>
    <n v="0"/>
    <n v="0"/>
    <m/>
    <n v="0"/>
  </r>
  <r>
    <x v="0"/>
    <s v="46630"/>
    <s v="KOHN7"/>
    <x v="0"/>
    <s v="The Richard M. Kohn Endowment Fund"/>
    <n v="0"/>
    <n v="0"/>
    <n v="0"/>
    <n v="0"/>
    <n v="0"/>
    <n v="0"/>
    <n v="0"/>
    <n v="0"/>
    <n v="0"/>
    <n v="0"/>
    <n v="0"/>
    <m/>
    <n v="0"/>
  </r>
  <r>
    <x v="0"/>
    <s v="45234"/>
    <s v="LEIBOW1"/>
    <x v="1"/>
    <s v="Donald S. Leibowitz and Karen Brodsky Philanthropic Fund"/>
    <n v="0"/>
    <n v="24582.59"/>
    <n v="0"/>
    <n v="103.51"/>
    <n v="0"/>
    <n v="0"/>
    <n v="0"/>
    <n v="-682.91"/>
    <n v="0"/>
    <n v="0"/>
    <n v="24003.19"/>
    <m/>
    <n v="-579.4"/>
  </r>
  <r>
    <x v="0"/>
    <s v="44365"/>
    <s v="DIAMON3"/>
    <x v="1"/>
    <s v="Rabbi James S. Diamond Memorial Fund"/>
    <n v="0"/>
    <n v="6809"/>
    <n v="0"/>
    <n v="33.130000000000003"/>
    <n v="0"/>
    <n v="0"/>
    <n v="0"/>
    <n v="-146.54"/>
    <n v="0"/>
    <n v="0"/>
    <n v="6695.59"/>
    <m/>
    <n v="-113.41"/>
  </r>
  <r>
    <x v="0"/>
    <s v="43836"/>
    <s v="ZLATIN1"/>
    <x v="1"/>
    <s v="Tikkun Olam Fund"/>
    <n v="0"/>
    <n v="6270"/>
    <n v="0"/>
    <n v="50.85"/>
    <n v="-15.74"/>
    <n v="0"/>
    <n v="1.52"/>
    <n v="-76.069999999999993"/>
    <n v="0"/>
    <n v="1.52"/>
    <n v="6230.56"/>
    <m/>
    <n v="-23.699999999999992"/>
  </r>
  <r>
    <x v="0"/>
    <s v="43834"/>
    <s v="GARBER7"/>
    <x v="1"/>
    <s v="Eileen and Robert Garber Family Fund"/>
    <n v="0"/>
    <n v="2000"/>
    <n v="0"/>
    <n v="15.59"/>
    <n v="-5.01"/>
    <n v="0"/>
    <n v="0"/>
    <n v="-34.04"/>
    <n v="0"/>
    <n v="0"/>
    <n v="1976.54"/>
    <m/>
    <n v="-18.45"/>
  </r>
  <r>
    <x v="0"/>
    <s v="42917"/>
    <s v="UJFPMB5"/>
    <x v="0"/>
    <s v="UJFPMB Kravitz"/>
    <n v="100256.55"/>
    <n v="0"/>
    <n v="-4858"/>
    <n v="2867.89"/>
    <n v="-1021.37"/>
    <n v="0"/>
    <n v="529.34"/>
    <n v="8161.18"/>
    <n v="0.01"/>
    <n v="529.35"/>
    <n v="105935.6"/>
    <m/>
    <n v="11558.42"/>
  </r>
  <r>
    <x v="0"/>
    <s v="42559"/>
    <s v="PUNIA1"/>
    <x v="3"/>
    <s v="Renee Punia Fund"/>
    <n v="104299.69"/>
    <n v="0"/>
    <n v="-5051"/>
    <n v="2983.55"/>
    <n v="-1062.43"/>
    <n v="0"/>
    <n v="817.68"/>
    <n v="8124.9"/>
    <n v="0"/>
    <n v="817.68"/>
    <n v="110112.39"/>
    <m/>
    <n v="11926.130000000001"/>
  </r>
  <r>
    <x v="0"/>
    <s v="42558"/>
    <s v="KEHILL1"/>
    <x v="3"/>
    <s v="The Kehillah Fund"/>
    <n v="58728.54"/>
    <n v="459"/>
    <n v="0"/>
    <n v="1457.66"/>
    <n v="0"/>
    <n v="0"/>
    <n v="103.45"/>
    <n v="4968.72"/>
    <n v="-0.01"/>
    <n v="103.44"/>
    <n v="65717.36"/>
    <m/>
    <n v="6529.82"/>
  </r>
  <r>
    <x v="0"/>
    <s v="42557"/>
    <s v="FIF1"/>
    <x v="3"/>
    <s v="Foundation Investment Fund"/>
    <n v="124688.34"/>
    <n v="0"/>
    <n v="0"/>
    <n v="3624.36"/>
    <n v="0"/>
    <n v="0"/>
    <n v="339.4"/>
    <n v="10665.44"/>
    <n v="0.02"/>
    <n v="339.41999999999996"/>
    <n v="139317.56"/>
    <m/>
    <n v="14629.220000000001"/>
  </r>
  <r>
    <x v="0"/>
    <s v="42555"/>
    <s v="UJFPMB4"/>
    <x v="0"/>
    <s v="UJFPMB Julius and Dorothy Koppelman Designated Fund"/>
    <n v="595075.06000000006"/>
    <n v="0"/>
    <n v="-65000"/>
    <n v="15984.15"/>
    <n v="-5712.05"/>
    <n v="0"/>
    <n v="12733.87"/>
    <n v="37925.699999999997"/>
    <n v="-0.01"/>
    <n v="12733.86"/>
    <n v="591006.71999999997"/>
    <m/>
    <n v="66643.709999999992"/>
  </r>
  <r>
    <x v="0"/>
    <s v="42554"/>
    <s v="UJFPMB3"/>
    <x v="0"/>
    <s v="UJFPMB Shirley Kobak Lion of Judah Endowment Fund"/>
    <n v="83446.009999999995"/>
    <n v="0"/>
    <n v="-4030"/>
    <n v="2003.53"/>
    <n v="-845.29"/>
    <n v="0"/>
    <n v="602.41999999999996"/>
    <n v="6273.33"/>
    <n v="0.03"/>
    <n v="602.44999999999993"/>
    <n v="87450.03"/>
    <m/>
    <n v="8879.3100000000013"/>
  </r>
  <r>
    <x v="0"/>
    <s v="42553"/>
    <s v="UJFPMB2"/>
    <x v="0"/>
    <s v="UJFPMB Estates Fund"/>
    <n v="37734.300000000003"/>
    <n v="0"/>
    <n v="0"/>
    <n v="925.11"/>
    <n v="-396.26"/>
    <n v="0"/>
    <n v="64.17"/>
    <n v="3155.65"/>
    <n v="0"/>
    <n v="64.17"/>
    <n v="41482.97"/>
    <m/>
    <n v="4144.93"/>
  </r>
  <r>
    <x v="0"/>
    <s v="42552"/>
    <s v="SRF1"/>
    <x v="0"/>
    <s v="Soviet Resettlement Fund"/>
    <n v="767.32"/>
    <n v="0"/>
    <n v="0"/>
    <n v="6.93"/>
    <n v="0"/>
    <n v="0"/>
    <n v="0.38"/>
    <n v="-6.46"/>
    <n v="0"/>
    <n v="0.38"/>
    <n v="768.17"/>
    <m/>
    <n v="0.84999999999999976"/>
  </r>
  <r>
    <x v="0"/>
    <s v="42551"/>
    <s v="PACK1"/>
    <x v="0"/>
    <s v="JFCS Pack Scholarship Fund"/>
    <n v="16835.650000000001"/>
    <n v="0"/>
    <n v="-647"/>
    <n v="294.79000000000002"/>
    <n v="-170.74"/>
    <n v="0"/>
    <n v="8.0399999999999991"/>
    <n v="1418.3"/>
    <n v="0.01"/>
    <n v="8.0499999999999989"/>
    <n v="17739.05"/>
    <m/>
    <n v="1721.1399999999999"/>
  </r>
  <r>
    <x v="0"/>
    <s v="42550"/>
    <s v="AHALF1"/>
    <x v="0"/>
    <s v="AHA Sandy Light Fund"/>
    <n v="18033.37"/>
    <n v="183"/>
    <n v="-683"/>
    <n v="310.83"/>
    <n v="-182.99"/>
    <n v="0"/>
    <n v="206.45"/>
    <n v="1261.54"/>
    <n v="0"/>
    <n v="206.45"/>
    <n v="19129.2"/>
    <m/>
    <n v="1778.82"/>
  </r>
  <r>
    <x v="0"/>
    <s v="42549"/>
    <s v="SILK1"/>
    <x v="1"/>
    <s v="Allen and Judith Silk Philanthropic Fund"/>
    <n v="28709.67"/>
    <n v="0"/>
    <n v="-7500"/>
    <n v="440.47"/>
    <n v="-273.49"/>
    <n v="0"/>
    <n v="1539.86"/>
    <n v="609.70000000000005"/>
    <n v="0"/>
    <n v="1539.86"/>
    <n v="23526.21"/>
    <m/>
    <n v="2590.0299999999997"/>
  </r>
  <r>
    <x v="0"/>
    <s v="42548"/>
    <s v="ROJER2"/>
    <x v="2"/>
    <s v="Goldie B. Rojer Hunger Relief Fund"/>
    <n v="47454.74"/>
    <n v="0"/>
    <n v="-1836"/>
    <n v="1137.25"/>
    <n v="-484.17"/>
    <n v="0"/>
    <n v="350.77"/>
    <n v="3582.51"/>
    <n v="0"/>
    <n v="350.77"/>
    <n v="50205.1"/>
    <m/>
    <n v="5070.5300000000007"/>
  </r>
  <r>
    <x v="0"/>
    <s v="42547"/>
    <s v="BERKOW5"/>
    <x v="2"/>
    <s v="Anne and Bernard Berkowitz Legacy Fund"/>
    <n v="11397.96"/>
    <n v="0"/>
    <n v="-546"/>
    <n v="193.93"/>
    <n v="-114.76"/>
    <n v="0"/>
    <n v="5.4"/>
    <n v="958.4"/>
    <n v="0"/>
    <n v="5.4"/>
    <n v="11894.93"/>
    <m/>
    <n v="1157.73"/>
  </r>
  <r>
    <x v="0"/>
    <s v="42546"/>
    <s v="YSF1"/>
    <x v="4"/>
    <s v="Youth Scholarship Fund"/>
    <n v="4562.01"/>
    <n v="0"/>
    <n v="0"/>
    <n v="41.66"/>
    <n v="0"/>
    <n v="0"/>
    <n v="2.2999999999999998"/>
    <n v="-38.36"/>
    <n v="0"/>
    <n v="2.2999999999999998"/>
    <n v="4567.6099999999997"/>
    <m/>
    <n v="5.599999999999997"/>
  </r>
  <r>
    <x v="0"/>
    <s v="42545"/>
    <s v="WOLLIN1"/>
    <x v="4"/>
    <s v="Wollin Scholarship Fund"/>
    <n v="35090.239999999998"/>
    <n v="0"/>
    <n v="-5000"/>
    <n v="782.81"/>
    <n v="-329.93"/>
    <n v="0"/>
    <n v="857.04"/>
    <n v="1870.31"/>
    <n v="0.01"/>
    <n v="857.05"/>
    <n v="33270.480000000003"/>
    <m/>
    <n v="3510.17"/>
  </r>
  <r>
    <x v="0"/>
    <s v="42544"/>
    <s v="UJFPMB1"/>
    <x v="4"/>
    <s v="UJFPMB Income Fund"/>
    <n v="9610.32"/>
    <n v="0"/>
    <n v="-370"/>
    <n v="163.57"/>
    <n v="-97.5"/>
    <n v="0"/>
    <n v="98.66"/>
    <n v="726.51"/>
    <n v="0"/>
    <n v="98.66"/>
    <n v="10131.56"/>
    <m/>
    <n v="988.7399999999999"/>
  </r>
  <r>
    <x v="0"/>
    <s v="42543"/>
    <s v="SIF1"/>
    <x v="4"/>
    <s v="Scholarship Investment Fund"/>
    <n v="23403.63"/>
    <n v="0"/>
    <n v="-962"/>
    <n v="397.77"/>
    <n v="-236.6"/>
    <n v="0"/>
    <n v="258.14"/>
    <n v="1638.1"/>
    <n v="0"/>
    <n v="258.14"/>
    <n v="24499.040000000001"/>
    <m/>
    <n v="2294.0099999999998"/>
  </r>
  <r>
    <x v="0"/>
    <s v="42542"/>
    <s v="OFFNER1"/>
    <x v="2"/>
    <s v="Offner JFCS Senior Services Fund"/>
    <n v="14318.22"/>
    <n v="0"/>
    <n v="-550"/>
    <n v="272.7"/>
    <n v="-145.55000000000001"/>
    <n v="0"/>
    <n v="2513.9"/>
    <n v="-1283.1199999999999"/>
    <n v="0"/>
    <n v="2513.9"/>
    <n v="15126.15"/>
    <m/>
    <n v="1503.4800000000002"/>
  </r>
  <r>
    <x v="0"/>
    <s v="42541"/>
    <s v="KLATZK2"/>
    <x v="4"/>
    <s v="Clive B. Klatzkin PACE Designated Fund"/>
    <n v="36403.96"/>
    <n v="0"/>
    <n v="0"/>
    <n v="888.2"/>
    <n v="-382.27"/>
    <n v="0"/>
    <n v="61.42"/>
    <n v="3045.55"/>
    <n v="-0.01"/>
    <n v="61.410000000000004"/>
    <n v="40016.85"/>
    <m/>
    <n v="3995.16"/>
  </r>
  <r>
    <x v="0"/>
    <s v="42540"/>
    <s v="KELSEY2"/>
    <x v="4"/>
    <s v="Harold H. Kelsey Greenwood House Fund"/>
    <n v="104921.62"/>
    <n v="0"/>
    <n v="-9133"/>
    <n v="2869.8"/>
    <n v="-1036.73"/>
    <n v="0"/>
    <n v="826.64"/>
    <n v="7992.25"/>
    <n v="0"/>
    <n v="826.64"/>
    <n v="106440.58"/>
    <m/>
    <n v="11688.689999999999"/>
  </r>
  <r>
    <x v="0"/>
    <s v="42539"/>
    <s v="KAHN7"/>
    <x v="4"/>
    <s v="Albert B. Kahn Scholarship Fund"/>
    <n v="122109.71"/>
    <n v="0"/>
    <n v="-5069"/>
    <n v="3503.73"/>
    <n v="-1250.42"/>
    <n v="0"/>
    <n v="1253.52"/>
    <n v="9308.91"/>
    <n v="0"/>
    <n v="1253.52"/>
    <n v="129856.45"/>
    <m/>
    <n v="14066.16"/>
  </r>
  <r>
    <x v="0"/>
    <s v="42537"/>
    <s v="GHIF1"/>
    <x v="4"/>
    <s v="Greenwood House Income Fund"/>
    <n v="10057.450000000001"/>
    <n v="0"/>
    <n v="-387"/>
    <n v="174.3"/>
    <n v="-102.16"/>
    <n v="0"/>
    <n v="4.63"/>
    <n v="887.49"/>
    <n v="0"/>
    <n v="4.63"/>
    <n v="10634.71"/>
    <m/>
    <n v="1066.42"/>
  </r>
  <r>
    <x v="0"/>
    <s v="42536"/>
    <s v="GLAZER2"/>
    <x v="4"/>
    <s v="Henry and Geralyn Glazer Greenwood House Scholarship Fund"/>
    <n v="32737.07"/>
    <n v="0"/>
    <n v="-1300"/>
    <n v="777.19"/>
    <n v="-333.71"/>
    <n v="0"/>
    <n v="407.54"/>
    <n v="2296.69"/>
    <n v="0"/>
    <n v="407.54"/>
    <n v="34584.78"/>
    <m/>
    <n v="3481.42"/>
  </r>
  <r>
    <x v="0"/>
    <s v="42535"/>
    <s v="GARB3"/>
    <x v="4"/>
    <s v="Benjamin Garb Scholarship Fund"/>
    <n v="33101.72"/>
    <n v="0"/>
    <n v="-1369"/>
    <n v="1589.95"/>
    <n v="-337.04"/>
    <n v="0"/>
    <n v="365.83"/>
    <n v="1568.76"/>
    <n v="0"/>
    <n v="365.83"/>
    <n v="34920.22"/>
    <m/>
    <n v="3524.54"/>
  </r>
  <r>
    <x v="0"/>
    <s v="42534"/>
    <s v="EDINIT1"/>
    <x v="4"/>
    <s v="Educational Initiative Fund"/>
    <n v="37819.94"/>
    <n v="0"/>
    <n v="-1461"/>
    <n v="905.74"/>
    <n v="-385.89"/>
    <n v="0"/>
    <n v="324.47000000000003"/>
    <n v="2814.05"/>
    <n v="0"/>
    <n v="324.47000000000003"/>
    <n v="40017.31"/>
    <m/>
    <n v="4044.26"/>
  </r>
  <r>
    <x v="0"/>
    <s v="42533"/>
    <s v="DENBO4"/>
    <x v="4"/>
    <s v="Alexander &amp; Syble G. Denbo Penn State/Dickinson School of Law Fund"/>
    <n v="213827.63"/>
    <n v="0"/>
    <n v="-18586"/>
    <n v="5903.18"/>
    <n v="-2114.27"/>
    <n v="0"/>
    <n v="1634.12"/>
    <n v="16485.080000000002"/>
    <n v="0"/>
    <n v="1634.12"/>
    <n v="217149.74"/>
    <m/>
    <n v="24022.38"/>
  </r>
  <r>
    <x v="0"/>
    <s v="42532"/>
    <s v="DENBO3"/>
    <x v="2"/>
    <s v="Alexander &amp; Syble G. Denbo JFCS Fund"/>
    <n v="1362762.52"/>
    <n v="5418.82"/>
    <n v="-80325.179999999993"/>
    <n v="35966.92"/>
    <n v="-12940.33"/>
    <n v="0"/>
    <n v="5344.41"/>
    <n v="111385"/>
    <n v="-0.01"/>
    <n v="5344.4"/>
    <n v="1427612.15"/>
    <m/>
    <n v="152696.31999999998"/>
  </r>
  <r>
    <x v="0"/>
    <s v="42531"/>
    <s v="DENBO2"/>
    <x v="2"/>
    <s v="Alexander &amp; Syble G. Denbo Greenwood House Fund"/>
    <n v="1234956.54"/>
    <n v="5418.82"/>
    <n v="-109123.16"/>
    <n v="31635.15"/>
    <n v="-11753.97"/>
    <n v="0"/>
    <n v="6336.92"/>
    <n v="94663.74"/>
    <n v="0.1"/>
    <n v="6337.02"/>
    <n v="1252134.1399999999"/>
    <m/>
    <n v="132635.91"/>
  </r>
  <r>
    <x v="0"/>
    <s v="42530"/>
    <s v="DENBO1"/>
    <x v="4"/>
    <s v="Alexander Denbo School Fund"/>
    <n v="19155.169999999998"/>
    <n v="0"/>
    <n v="-751"/>
    <n v="338.9"/>
    <n v="-197.91"/>
    <n v="0"/>
    <n v="9.5500000000000007"/>
    <n v="1615.53"/>
    <n v="0.05"/>
    <n v="9.6000000000000014"/>
    <n v="20170.29"/>
    <m/>
    <n v="1964.0299999999997"/>
  </r>
  <r>
    <x v="0"/>
    <s v="42529"/>
    <s v="AHAPIF1"/>
    <x v="4"/>
    <s v="AHA Pooled Special Funds"/>
    <n v="2140"/>
    <n v="0"/>
    <n v="0"/>
    <n v="19.54"/>
    <n v="0"/>
    <n v="0"/>
    <n v="1.08"/>
    <n v="-18.010000000000002"/>
    <n v="0"/>
    <n v="1.08"/>
    <n v="2142.61"/>
    <m/>
    <n v="2.6099999999999977"/>
  </r>
  <r>
    <x v="0"/>
    <s v="42528"/>
    <s v="ZELTT1"/>
    <x v="1"/>
    <s v="Harold &amp; Marilyn Zeltt Charitable Fund"/>
    <n v="33727.949999999997"/>
    <n v="0"/>
    <n v="-10000"/>
    <n v="638.72"/>
    <n v="-302.95999999999998"/>
    <n v="0"/>
    <n v="-5.05"/>
    <n v="2712.62"/>
    <n v="0"/>
    <n v="-5.05"/>
    <n v="26771.279999999999"/>
    <m/>
    <n v="3346.29"/>
  </r>
  <r>
    <x v="0"/>
    <s v="42527"/>
    <s v="WISOTS1"/>
    <x v="1"/>
    <s v="Wisotsky Family Philanthropic Fund"/>
    <n v="5432.8"/>
    <n v="0"/>
    <n v="0"/>
    <n v="92.75"/>
    <n v="-56.51"/>
    <n v="0"/>
    <n v="2.74"/>
    <n v="427.96"/>
    <n v="0"/>
    <n v="2.74"/>
    <n v="5899.74"/>
    <m/>
    <n v="523.45000000000005"/>
  </r>
  <r>
    <x v="0"/>
    <s v="42525"/>
    <s v="URKEN1"/>
    <x v="1"/>
    <s v="Ernestine and Karl Urken Philanthropic Fund"/>
    <n v="13029.7"/>
    <n v="0"/>
    <n v="-1700"/>
    <n v="209.58"/>
    <n v="-125.66"/>
    <n v="0"/>
    <n v="299.82"/>
    <n v="777.99"/>
    <n v="0"/>
    <n v="299.82"/>
    <n v="12491.43"/>
    <m/>
    <n v="1287.3900000000001"/>
  </r>
  <r>
    <x v="0"/>
    <s v="42524"/>
    <s v="SUCHAR1"/>
    <x v="1"/>
    <s v="Sucharow Family Charitable Fund"/>
    <n v="296780.33"/>
    <n v="250000"/>
    <n v="-101000"/>
    <n v="10527.51"/>
    <n v="-4013.92"/>
    <n v="0"/>
    <n v="2598.2199999999998"/>
    <n v="23738.15"/>
    <n v="0"/>
    <n v="2598.2199999999998"/>
    <n v="478630.29"/>
    <m/>
    <n v="36863.880000000005"/>
  </r>
  <r>
    <x v="0"/>
    <s v="42523"/>
    <s v="STIX1"/>
    <x v="1"/>
    <s v="Stix Charitable Fund"/>
    <n v="63429.56"/>
    <n v="100000"/>
    <n v="0"/>
    <n v="2944.09"/>
    <n v="-1173.79"/>
    <n v="0"/>
    <n v="473.94"/>
    <n v="6007.7"/>
    <n v="0"/>
    <n v="473.94"/>
    <n v="171681.5"/>
    <m/>
    <n v="9425.7300000000014"/>
  </r>
  <r>
    <x v="0"/>
    <s v="42522"/>
    <s v="SMUKLE3"/>
    <x v="1"/>
    <s v="Smukler Fund"/>
    <n v="908326.88"/>
    <n v="0"/>
    <n v="-70000"/>
    <n v="26735.94"/>
    <n v="-9247.56"/>
    <n v="0"/>
    <n v="11370.54"/>
    <n v="68700.490000000005"/>
    <n v="0.01"/>
    <n v="11370.550000000001"/>
    <n v="935886.3"/>
    <m/>
    <n v="106806.98000000001"/>
  </r>
  <r>
    <x v="0"/>
    <s v="42520"/>
    <s v="SHECHT5"/>
    <x v="1"/>
    <s v="Shechtel Children's Fund"/>
    <n v="5815.27"/>
    <n v="0"/>
    <n v="0"/>
    <n v="92.53"/>
    <n v="-60.06"/>
    <n v="0"/>
    <n v="3.12"/>
    <n v="367.45"/>
    <n v="0"/>
    <n v="3.12"/>
    <n v="6218.31"/>
    <m/>
    <n v="463.1"/>
  </r>
  <r>
    <x v="0"/>
    <s v="42519"/>
    <s v="SCHWAR33"/>
    <x v="1"/>
    <s v="Judith &amp; Martin Schwartz Family Charitable Trust"/>
    <n v="87253.79"/>
    <n v="18166.18"/>
    <n v="-15750"/>
    <n v="2261.59"/>
    <n v="-965.81"/>
    <n v="0"/>
    <n v="2948.53"/>
    <n v="4590.3"/>
    <n v="0"/>
    <n v="2948.53"/>
    <n v="98504.58"/>
    <m/>
    <n v="9800.42"/>
  </r>
  <r>
    <x v="0"/>
    <s v="42518"/>
    <s v="SCHNUR3"/>
    <x v="1"/>
    <s v="Schnur Family Philanthropic Fund"/>
    <n v="166285.25"/>
    <n v="0"/>
    <n v="-33000"/>
    <n v="4602.32"/>
    <n v="-1660.48"/>
    <n v="0"/>
    <n v="3804.46"/>
    <n v="10394.74"/>
    <n v="0"/>
    <n v="3804.46"/>
    <n v="150426.29"/>
    <m/>
    <n v="18801.52"/>
  </r>
  <r>
    <x v="0"/>
    <s v="42516"/>
    <s v="SHAKUN1"/>
    <x v="1"/>
    <s v="Shakun &amp; Devery Family Fund"/>
    <n v="11737.66"/>
    <n v="10000"/>
    <n v="-3750"/>
    <n v="281.45"/>
    <n v="-155.56"/>
    <n v="0"/>
    <n v="72.88"/>
    <n v="1063.57"/>
    <n v="0"/>
    <n v="72.88"/>
    <n v="19250"/>
    <m/>
    <n v="1417.9"/>
  </r>
  <r>
    <x v="0"/>
    <s v="42515"/>
    <s v="SCHAEF7"/>
    <x v="1"/>
    <s v="Schaefer Family Philanthropic Fund"/>
    <n v="56233.23"/>
    <n v="52699.96"/>
    <n v="-40500"/>
    <n v="1726.15"/>
    <n v="-779.76"/>
    <n v="0"/>
    <n v="314.19"/>
    <n v="5817.47"/>
    <n v="-0.01"/>
    <n v="314.18"/>
    <n v="75511.23"/>
    <m/>
    <n v="7857.8000000000011"/>
  </r>
  <r>
    <x v="0"/>
    <s v="42514"/>
    <s v="KOHN6"/>
    <x v="2"/>
    <s v="RMK PACE Fund"/>
    <n v="89017.68"/>
    <n v="126338.84"/>
    <n v="-130000"/>
    <n v="1297.98"/>
    <n v="-750.08"/>
    <n v="0"/>
    <n v="3224.19"/>
    <n v="892.65"/>
    <n v="0"/>
    <n v="3224.19"/>
    <n v="90021.26"/>
    <m/>
    <n v="5414.82"/>
  </r>
  <r>
    <x v="0"/>
    <s v="42513"/>
    <s v="PIMLEY1"/>
    <x v="1"/>
    <s v="Oliver Jenson Pimley Tzedakah Fund"/>
    <n v="6706.21"/>
    <n v="0"/>
    <n v="0"/>
    <n v="111.04"/>
    <n v="-69.58"/>
    <n v="0"/>
    <n v="3.4"/>
    <n v="490.82"/>
    <n v="0"/>
    <n v="3.4"/>
    <n v="7241.89"/>
    <m/>
    <n v="605.26"/>
  </r>
  <r>
    <x v="0"/>
    <s v="42512"/>
    <s v="PERLMA8"/>
    <x v="1"/>
    <s v="Bonnie and Richard Perlman Philanthropic Fund"/>
    <n v="18188.02"/>
    <n v="0"/>
    <n v="-10050"/>
    <n v="263.3"/>
    <n v="-175.72"/>
    <n v="0"/>
    <n v="546.82000000000005"/>
    <n v="1323.86"/>
    <n v="0"/>
    <n v="546.82000000000005"/>
    <n v="10096.280000000001"/>
    <m/>
    <n v="2133.98"/>
  </r>
  <r>
    <x v="0"/>
    <s v="42511"/>
    <s v="PERLMA7"/>
    <x v="1"/>
    <s v="B. Perlman Family Charitable Fund"/>
    <n v="10077.4"/>
    <n v="5000"/>
    <n v="-3530"/>
    <n v="189.71"/>
    <n v="-121.14"/>
    <n v="0"/>
    <n v="1483.02"/>
    <n v="-715.72"/>
    <n v="0"/>
    <n v="1483.02"/>
    <n v="12383.27"/>
    <m/>
    <n v="957.01"/>
  </r>
  <r>
    <x v="0"/>
    <s v="42510"/>
    <s v="NEUMAN3"/>
    <x v="1"/>
    <s v="Jerry Neumann &amp; Naomi Richman Philanthropic Fund"/>
    <n v="12735.96"/>
    <n v="20776.21"/>
    <n v="-7100"/>
    <n v="399.23"/>
    <n v="-223.94"/>
    <n v="0"/>
    <n v="142.87"/>
    <n v="1171.71"/>
    <n v="0"/>
    <n v="142.87"/>
    <n v="27902.04"/>
    <m/>
    <n v="1713.81"/>
  </r>
  <r>
    <x v="0"/>
    <s v="42509"/>
    <s v="MILLER147"/>
    <x v="1"/>
    <s v="Sue Ellen and David H. Miller Family Charitable Fund"/>
    <n v="11425.45"/>
    <n v="0"/>
    <n v="0"/>
    <n v="201.02"/>
    <n v="-119.31"/>
    <n v="0"/>
    <n v="5.48"/>
    <n v="994.54"/>
    <n v="0"/>
    <n v="5.48"/>
    <n v="12507.18"/>
    <m/>
    <n v="1201.04"/>
  </r>
  <r>
    <x v="0"/>
    <s v="42508"/>
    <s v="KLATZK1"/>
    <x v="1"/>
    <s v="Clive and Audrey Klatzkin Family Philanthropic Fund"/>
    <n v="57594.65"/>
    <n v="0"/>
    <n v="0"/>
    <n v="1408.88"/>
    <n v="-604.80999999999995"/>
    <n v="0"/>
    <n v="97.58"/>
    <n v="4817.33"/>
    <n v="-0.01"/>
    <n v="97.57"/>
    <n v="63313.62"/>
    <m/>
    <n v="6323.78"/>
  </r>
  <r>
    <x v="0"/>
    <s v="42507"/>
    <s v="KALISH2"/>
    <x v="1"/>
    <s v="Peggy and Errol Kalish Philanthropic Fund"/>
    <n v="57568.97"/>
    <n v="0"/>
    <n v="0"/>
    <n v="1408.03"/>
    <n v="-604.53"/>
    <n v="0"/>
    <n v="97.51"/>
    <n v="4814.99"/>
    <n v="-0.01"/>
    <n v="97.5"/>
    <n v="63284.959999999999"/>
    <m/>
    <n v="6320.5199999999995"/>
  </r>
  <r>
    <x v="0"/>
    <s v="42506"/>
    <s v="KAHN6"/>
    <x v="1"/>
    <s v="Kahn Family Philanthropic Fund"/>
    <n v="8172.1"/>
    <n v="7921.87"/>
    <n v="-8225"/>
    <n v="115.89"/>
    <n v="-90.9"/>
    <n v="0"/>
    <n v="1899.8"/>
    <n v="-1292.5999999999999"/>
    <n v="0"/>
    <n v="1899.8"/>
    <n v="8501.16"/>
    <m/>
    <n v="723.09000000000015"/>
  </r>
  <r>
    <x v="0"/>
    <s v="42505"/>
    <s v="HARRIS51"/>
    <x v="1"/>
    <s v="Sara Jane and Morris Harris Philanthropic Fund"/>
    <n v="81283.539999999994"/>
    <n v="0"/>
    <n v="-10000"/>
    <n v="1889.89"/>
    <n v="-802.86"/>
    <n v="0"/>
    <n v="1696.72"/>
    <n v="5069.46"/>
    <n v="0"/>
    <n v="1696.72"/>
    <n v="79136.75"/>
    <m/>
    <n v="8656.07"/>
  </r>
  <r>
    <x v="0"/>
    <s v="42504"/>
    <s v="GOODMA11"/>
    <x v="1"/>
    <s v="Goodman Family Philanthropic Fund"/>
    <n v="26786.09"/>
    <n v="0"/>
    <n v="0"/>
    <n v="474.84"/>
    <n v="-279.37"/>
    <n v="0"/>
    <n v="12.88"/>
    <n v="2249.2800000000002"/>
    <n v="0"/>
    <n v="12.88"/>
    <n v="29243.72"/>
    <m/>
    <n v="2737.0000000000005"/>
  </r>
  <r>
    <x v="0"/>
    <s v="42503"/>
    <s v="GOLDMA21"/>
    <x v="1"/>
    <s v="Debby and Peter Goldman Fund"/>
    <n v="133327.06"/>
    <n v="0"/>
    <n v="0"/>
    <n v="3888.34"/>
    <n v="-1408.14"/>
    <n v="0"/>
    <n v="694.2"/>
    <n v="11165.75"/>
    <n v="0"/>
    <n v="694.2"/>
    <n v="147667.21"/>
    <m/>
    <n v="15748.29"/>
  </r>
  <r>
    <x v="0"/>
    <s v="42502"/>
    <s v="GLAZER1"/>
    <x v="1"/>
    <s v="Richard M. Glazer Philanthropic Fund"/>
    <n v="13869.17"/>
    <n v="0"/>
    <n v="-600"/>
    <n v="235.76"/>
    <n v="-141.71"/>
    <n v="0"/>
    <n v="131.05000000000001"/>
    <n v="1060.0999999999999"/>
    <n v="0"/>
    <n v="131.05000000000001"/>
    <n v="14554.37"/>
    <m/>
    <n v="1426.9099999999999"/>
  </r>
  <r>
    <x v="0"/>
    <s v="42499"/>
    <s v="FELDMA13"/>
    <x v="1"/>
    <s v="Talia Feldman Fund for Tzedakah"/>
    <n v="17350.66"/>
    <n v="2941"/>
    <n v="-1600"/>
    <n v="390.5"/>
    <n v="-155.07"/>
    <n v="0"/>
    <n v="61.12"/>
    <n v="1094.95"/>
    <n v="0"/>
    <n v="61.12"/>
    <n v="20083.16"/>
    <m/>
    <n v="1546.57"/>
  </r>
  <r>
    <x v="0"/>
    <s v="42498"/>
    <s v="FANNIN3"/>
    <x v="1"/>
    <s v="Lillian and Arthur Fanning Memorial Fund"/>
    <n v="56460.06"/>
    <n v="0"/>
    <n v="-3600"/>
    <n v="1349.35"/>
    <n v="-583.82000000000005"/>
    <n v="0"/>
    <n v="94.02"/>
    <n v="4749.7700000000004"/>
    <n v="0"/>
    <n v="94.02"/>
    <n v="58469.38"/>
    <m/>
    <n v="6193.1400000000012"/>
  </r>
  <r>
    <x v="0"/>
    <s v="42497"/>
    <s v="FAMILA1"/>
    <x v="1"/>
    <s v="Rosalind &quot;Mimi&quot; and Aaron &quot;Poppy&quot; Familant Fund"/>
    <n v="22759.11"/>
    <n v="0"/>
    <n v="0"/>
    <n v="405.34"/>
    <n v="-237.37"/>
    <n v="0"/>
    <n v="11.15"/>
    <n v="1910.82"/>
    <n v="0"/>
    <n v="11.15"/>
    <n v="24849.05"/>
    <m/>
    <n v="2327.31"/>
  </r>
  <r>
    <x v="0"/>
    <s v="42496"/>
    <s v="ENTIN1"/>
    <x v="1"/>
    <s v="Sadie and Leon Entin Memorial Fund"/>
    <n v="10170.66"/>
    <n v="0"/>
    <n v="-250"/>
    <n v="177.26"/>
    <n v="-106.1"/>
    <n v="0"/>
    <n v="5.09"/>
    <n v="868.27"/>
    <n v="0"/>
    <n v="5.09"/>
    <n v="10865.18"/>
    <m/>
    <n v="1050.6199999999999"/>
  </r>
  <r>
    <x v="0"/>
    <s v="42495"/>
    <s v="EGGER2"/>
    <x v="1"/>
    <s v="Audrey and David Egger Charitable Fund"/>
    <n v="13201.62"/>
    <n v="0"/>
    <n v="0"/>
    <n v="230.18"/>
    <n v="-137.74"/>
    <n v="0"/>
    <n v="94.33"/>
    <n v="1033.5899999999999"/>
    <n v="0"/>
    <n v="94.33"/>
    <n v="14421.98"/>
    <m/>
    <n v="1358.1"/>
  </r>
  <r>
    <x v="0"/>
    <s v="42494"/>
    <s v="COHEN57"/>
    <x v="1"/>
    <s v="Janet and Howard Cohen Philanthropic Fund"/>
    <n v="11481.75"/>
    <n v="30000"/>
    <n v="-1000"/>
    <n v="682.52"/>
    <n v="-348.41"/>
    <n v="0"/>
    <n v="155.47999999999999"/>
    <n v="1416.27"/>
    <n v="0.09"/>
    <n v="155.57"/>
    <n v="42387.7"/>
    <m/>
    <n v="2254.36"/>
  </r>
  <r>
    <x v="0"/>
    <s v="42493"/>
    <s v="BURNS15"/>
    <x v="1"/>
    <s v="Joseph Burns Fund"/>
    <n v="2007.43"/>
    <n v="2000"/>
    <n v="0"/>
    <n v="38.270000000000003"/>
    <n v="-10.050000000000001"/>
    <n v="0"/>
    <n v="0"/>
    <n v="-68.33"/>
    <n v="0"/>
    <n v="0"/>
    <n v="3967.32"/>
    <m/>
    <n v="-30.059999999999995"/>
  </r>
  <r>
    <x v="0"/>
    <s v="42492"/>
    <s v="BERMAN14"/>
    <x v="1"/>
    <s v="Ronald and Marie Berman Philanthropic Fund"/>
    <n v="67763.94"/>
    <n v="161687.47"/>
    <n v="-160000"/>
    <n v="1780.84"/>
    <n v="-1111.67"/>
    <n v="0"/>
    <n v="-97.34"/>
    <n v="5879.87"/>
    <n v="-0.01"/>
    <n v="-97.350000000000009"/>
    <n v="75903.100000000006"/>
    <m/>
    <n v="7563.36"/>
  </r>
  <r>
    <x v="0"/>
    <s v="42491"/>
    <s v="BERGER10"/>
    <x v="1"/>
    <s v="Samuel S. and Regina Berger Charitable Fund"/>
    <n v="32486.28"/>
    <n v="0"/>
    <n v="0"/>
    <n v="793.25"/>
    <n v="-341.15"/>
    <n v="0"/>
    <n v="54.9"/>
    <n v="2717.58"/>
    <n v="0"/>
    <n v="54.9"/>
    <n v="35710.86"/>
    <m/>
    <n v="3565.73"/>
  </r>
  <r>
    <x v="0"/>
    <s v="42490"/>
    <s v="AXELRO4"/>
    <x v="1"/>
    <s v="Axelrod Family Fund"/>
    <n v="88162.32"/>
    <n v="0"/>
    <n v="-16900"/>
    <n v="2108.4499999999998"/>
    <n v="-881.73"/>
    <n v="0"/>
    <n v="2694.38"/>
    <n v="5016.0200000000004"/>
    <n v="-0.01"/>
    <n v="2694.37"/>
    <n v="80199.429999999993"/>
    <m/>
    <n v="9818.84"/>
  </r>
  <r>
    <x v="0"/>
    <s v="42489"/>
    <s v="APPLES1"/>
    <x v="1"/>
    <s v="Louis Applestein Memorial Fund"/>
    <n v="19714"/>
    <n v="0"/>
    <n v="0"/>
    <n v="356.06"/>
    <n v="-205.96"/>
    <n v="0"/>
    <n v="9.4600000000000009"/>
    <n v="1725.77"/>
    <n v="0"/>
    <n v="9.4600000000000009"/>
    <n v="21599.33"/>
    <m/>
    <n v="2091.29"/>
  </r>
  <r>
    <x v="0"/>
    <s v="42488"/>
    <s v="ANSHEN1"/>
    <x v="1"/>
    <s v="Rose Perlman Anshen and Harold Anshen Memorial Fund"/>
    <n v="26875.53"/>
    <n v="0"/>
    <n v="-250"/>
    <n v="472.55"/>
    <n v="-280.29000000000002"/>
    <n v="0"/>
    <n v="12.45"/>
    <n v="2265.12"/>
    <n v="0"/>
    <n v="12.45"/>
    <n v="29095.360000000001"/>
    <m/>
    <n v="2750.12"/>
  </r>
  <r>
    <x v="0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1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1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1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1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1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1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1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1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1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1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1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1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1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1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1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1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1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1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1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1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1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1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1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1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1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1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1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1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1"/>
    <s v="56365"/>
    <s v="FREEMA39"/>
    <x v="1"/>
    <s v="Herbert and Joan Freeman Fund"/>
    <n v="0"/>
    <n v="0"/>
    <n v="0"/>
    <n v="0"/>
    <n v="0"/>
    <n v="0"/>
    <n v="0"/>
    <n v="0"/>
    <n v="0"/>
    <n v="0"/>
    <n v="0"/>
    <m/>
    <n v="0"/>
  </r>
  <r>
    <x v="1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1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1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1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1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1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1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1"/>
    <s v="49564"/>
    <s v="JFCS3"/>
    <x v="0"/>
    <s v="JFCS of Greater Mercer County First LIFE &amp; LEGACY Endowment Fund"/>
    <n v="0"/>
    <n v="0"/>
    <n v="0"/>
    <n v="0"/>
    <n v="0"/>
    <n v="0"/>
    <n v="0"/>
    <n v="0"/>
    <n v="0"/>
    <n v="0"/>
    <n v="0"/>
    <m/>
    <n v="0"/>
  </r>
  <r>
    <x v="1"/>
    <s v="49536"/>
    <s v="CHADAS1"/>
    <x v="0"/>
    <s v="Or Chadash LIFE &amp; LEGACY Endowment Fund"/>
    <n v="0"/>
    <n v="0"/>
    <n v="0"/>
    <n v="0"/>
    <n v="0"/>
    <n v="0"/>
    <n v="0"/>
    <n v="0"/>
    <n v="0"/>
    <n v="0"/>
    <n v="0"/>
    <m/>
    <n v="0"/>
  </r>
  <r>
    <x v="1"/>
    <s v="49525"/>
    <s v="BETHCH1"/>
    <x v="0"/>
    <s v="Beth Chaim LIFE &amp; LEGACY Endowment Fund"/>
    <n v="0"/>
    <n v="0"/>
    <n v="0"/>
    <n v="0"/>
    <n v="0"/>
    <n v="0"/>
    <n v="0"/>
    <n v="0"/>
    <n v="0"/>
    <n v="0"/>
    <n v="0"/>
    <m/>
    <n v="0"/>
  </r>
  <r>
    <x v="1"/>
    <s v="49524"/>
    <s v="ADATH1"/>
    <x v="0"/>
    <s v="Adath Israel LIFE &amp; LEGACY Endowment Fund"/>
    <n v="0"/>
    <n v="0"/>
    <n v="0"/>
    <n v="0"/>
    <n v="0"/>
    <n v="0"/>
    <n v="0"/>
    <n v="0"/>
    <n v="0"/>
    <n v="0"/>
    <n v="0"/>
    <m/>
    <n v="0"/>
  </r>
  <r>
    <x v="1"/>
    <s v="49304"/>
    <s v="JEWISH28"/>
    <x v="0"/>
    <s v="Jewish Center of Princeton Endowment Fund"/>
    <n v="0"/>
    <n v="0"/>
    <n v="0"/>
    <n v="0"/>
    <n v="0"/>
    <n v="0"/>
    <n v="0"/>
    <n v="0"/>
    <n v="0"/>
    <n v="0"/>
    <n v="0"/>
    <m/>
    <n v="0"/>
  </r>
  <r>
    <x v="1"/>
    <s v="49253"/>
    <s v="DAVIDS14"/>
    <x v="1"/>
    <s v="The DADA Fund"/>
    <n v="0"/>
    <n v="0"/>
    <n v="0"/>
    <n v="0"/>
    <n v="0"/>
    <n v="0"/>
    <n v="0"/>
    <n v="0"/>
    <n v="0"/>
    <n v="0"/>
    <n v="0"/>
    <m/>
    <n v="0"/>
  </r>
  <r>
    <x v="1"/>
    <s v="49131"/>
    <s v="MICHAE8"/>
    <x v="1"/>
    <s v="Manning &amp; Hoffman-Manning Charitable Fund"/>
    <n v="0"/>
    <n v="0"/>
    <n v="0"/>
    <n v="0"/>
    <n v="0"/>
    <n v="0"/>
    <n v="0"/>
    <n v="0"/>
    <n v="0"/>
    <n v="0"/>
    <n v="0"/>
    <m/>
    <n v="0"/>
  </r>
  <r>
    <x v="1"/>
    <s v="48855"/>
    <s v="MEISEL2"/>
    <x v="1"/>
    <s v="Zachary, Ava &amp; Stella Kovner Meisel Tzedkah Fund"/>
    <n v="0"/>
    <n v="0"/>
    <n v="0"/>
    <n v="0"/>
    <n v="0"/>
    <n v="0"/>
    <n v="0"/>
    <n v="0"/>
    <n v="0"/>
    <n v="0"/>
    <n v="0"/>
    <m/>
    <n v="0"/>
  </r>
  <r>
    <x v="1"/>
    <s v="48533"/>
    <s v="SNOW3"/>
    <x v="1"/>
    <s v="Nagelberg Philanthropic Fund"/>
    <n v="0"/>
    <n v="0"/>
    <n v="0"/>
    <n v="0"/>
    <n v="0"/>
    <n v="0"/>
    <n v="0"/>
    <n v="0"/>
    <n v="0"/>
    <n v="0"/>
    <n v="0"/>
    <m/>
    <n v="0"/>
  </r>
  <r>
    <x v="1"/>
    <s v="48355"/>
    <s v="FREEMA17"/>
    <x v="1"/>
    <s v="Marsha &amp; Eliot Freeman Family Fund"/>
    <n v="0"/>
    <n v="0"/>
    <n v="0"/>
    <n v="0"/>
    <n v="0"/>
    <n v="0"/>
    <n v="0"/>
    <n v="0"/>
    <n v="0"/>
    <n v="0"/>
    <n v="0"/>
    <m/>
    <n v="0"/>
  </r>
  <r>
    <x v="1"/>
    <s v="48196"/>
    <s v="JEWISH27"/>
    <x v="3"/>
    <s v="Jewish Community Foundation of Greater Mercer LIFE &amp; LEGACY Endowment Fund"/>
    <n v="0"/>
    <n v="0"/>
    <n v="0"/>
    <n v="0"/>
    <n v="0"/>
    <n v="0"/>
    <n v="0"/>
    <n v="0"/>
    <n v="0"/>
    <n v="0"/>
    <n v="0"/>
    <m/>
    <n v="0"/>
  </r>
  <r>
    <x v="1"/>
    <s v="47872"/>
    <s v="WALDOR1"/>
    <x v="1"/>
    <s v="Berman-Waldorf Family Fund"/>
    <n v="0"/>
    <n v="0"/>
    <n v="0"/>
    <n v="0"/>
    <n v="0"/>
    <n v="0"/>
    <n v="0"/>
    <n v="0"/>
    <n v="0"/>
    <n v="0"/>
    <n v="0"/>
    <m/>
    <n v="0"/>
  </r>
  <r>
    <x v="1"/>
    <s v="47724"/>
    <s v="SNOW2"/>
    <x v="1"/>
    <s v="Snow - Nagelberg Philanthropic Fund"/>
    <n v="0"/>
    <n v="7000"/>
    <n v="0"/>
    <n v="18.47"/>
    <n v="0"/>
    <n v="0"/>
    <n v="0"/>
    <n v="-7.89"/>
    <n v="0"/>
    <n v="0"/>
    <n v="7010.58"/>
    <m/>
    <n v="10.579999999999998"/>
  </r>
  <r>
    <x v="1"/>
    <s v="47350"/>
    <s v="FELDMA18"/>
    <x v="1"/>
    <s v="Dena Feldman Fund for Tzedakah"/>
    <n v="0"/>
    <n v="2737"/>
    <n v="0"/>
    <n v="10.81"/>
    <n v="-37.5"/>
    <n v="0"/>
    <n v="0"/>
    <n v="53.79"/>
    <n v="0"/>
    <n v="0"/>
    <n v="2764.1"/>
    <m/>
    <n v="64.599999999999994"/>
  </r>
  <r>
    <x v="1"/>
    <s v="47349"/>
    <s v="FRAM1"/>
    <x v="1"/>
    <s v="Harvey &amp; Carine Fram Charitable Gift Fund"/>
    <n v="0"/>
    <n v="16500"/>
    <n v="0"/>
    <n v="96.71"/>
    <n v="-41.25"/>
    <n v="0"/>
    <n v="0"/>
    <n v="493.29"/>
    <n v="0"/>
    <n v="0"/>
    <n v="17048.75"/>
    <m/>
    <n v="590"/>
  </r>
  <r>
    <x v="1"/>
    <s v="46976"/>
    <s v="DAVIDS12"/>
    <x v="1"/>
    <s v="Davidson Philanthropic Fund"/>
    <n v="0"/>
    <n v="10000"/>
    <n v="0"/>
    <n v="107.68"/>
    <n v="-62.5"/>
    <n v="0"/>
    <n v="0.23"/>
    <n v="571.54999999999995"/>
    <n v="0"/>
    <n v="0.23"/>
    <n v="10616.96"/>
    <m/>
    <n v="679.46"/>
  </r>
  <r>
    <x v="1"/>
    <s v="46842"/>
    <s v="FELDST4"/>
    <x v="1"/>
    <s v="Lori and Michael Feldstein Fund"/>
    <n v="0"/>
    <n v="52421.59"/>
    <n v="-16100"/>
    <n v="307.63"/>
    <n v="-122.13"/>
    <n v="0"/>
    <n v="0.54"/>
    <n v="1303.6500000000001"/>
    <n v="0"/>
    <n v="0.54"/>
    <n v="37811.279999999999"/>
    <m/>
    <n v="1611.8200000000002"/>
  </r>
  <r>
    <x v="1"/>
    <s v="46751"/>
    <s v="SHAKUN2"/>
    <x v="2"/>
    <s v="Beth El's Future"/>
    <n v="0"/>
    <n v="100000"/>
    <n v="0"/>
    <n v="1707.21"/>
    <n v="-516.42999999999995"/>
    <n v="0"/>
    <n v="117.46"/>
    <n v="6899.44"/>
    <n v="0"/>
    <n v="117.46"/>
    <n v="108207.67999999999"/>
    <m/>
    <n v="8724.1099999999988"/>
  </r>
  <r>
    <x v="1"/>
    <s v="46630"/>
    <s v="KOHN7"/>
    <x v="0"/>
    <s v="The Richard M. Kohn Endowment Fund"/>
    <n v="0"/>
    <n v="463037.84"/>
    <n v="0"/>
    <n v="7832.84"/>
    <n v="-2369.4299999999998"/>
    <n v="0"/>
    <n v="597.34"/>
    <n v="27365.27"/>
    <n v="0"/>
    <n v="597.34"/>
    <n v="496463.86"/>
    <m/>
    <n v="35795.449999999997"/>
  </r>
  <r>
    <x v="1"/>
    <s v="45234"/>
    <s v="LEIBOW1"/>
    <x v="1"/>
    <s v="Donald S. Leibowitz and Karen Brodsky Philanthropic Fund"/>
    <n v="24003.19"/>
    <n v="7800"/>
    <n v="-5200"/>
    <n v="632.77"/>
    <n v="-267.7"/>
    <n v="0"/>
    <n v="166.1"/>
    <n v="3604.44"/>
    <n v="0"/>
    <n v="166.1"/>
    <n v="30738.799999999999"/>
    <m/>
    <n v="4403.3100000000004"/>
  </r>
  <r>
    <x v="1"/>
    <s v="44365"/>
    <s v="DIAMON3"/>
    <x v="1"/>
    <s v="Rabbi James S. Diamond Memorial Fund"/>
    <n v="6695.59"/>
    <n v="729"/>
    <n v="0"/>
    <n v="180.79"/>
    <n v="-92.94"/>
    <n v="0"/>
    <n v="47.52"/>
    <n v="1021.65"/>
    <n v="0"/>
    <n v="47.52"/>
    <n v="8581.61"/>
    <m/>
    <n v="1249.96"/>
  </r>
  <r>
    <x v="1"/>
    <s v="43836"/>
    <s v="ZLATIN1"/>
    <x v="1"/>
    <s v="Tikkun Olam Fund"/>
    <n v="6230.56"/>
    <n v="7633.59"/>
    <n v="-6340"/>
    <n v="184.31"/>
    <n v="-86.56"/>
    <n v="0"/>
    <n v="43.21"/>
    <n v="981.14"/>
    <n v="0"/>
    <n v="43.21"/>
    <n v="8646.25"/>
    <m/>
    <n v="1208.6600000000001"/>
  </r>
  <r>
    <x v="1"/>
    <s v="43834"/>
    <s v="GARBER7"/>
    <x v="1"/>
    <s v="Eileen and Robert Garber Family Fund"/>
    <n v="1976.54"/>
    <n v="2000"/>
    <n v="0"/>
    <n v="83.42"/>
    <n v="-58.16"/>
    <n v="0"/>
    <n v="16.260000000000002"/>
    <n v="409.99"/>
    <n v="0"/>
    <n v="16.260000000000002"/>
    <n v="4428.05"/>
    <m/>
    <n v="509.67"/>
  </r>
  <r>
    <x v="1"/>
    <s v="42917"/>
    <s v="UJFPMB5"/>
    <x v="0"/>
    <s v="UJFPMB Kravitz"/>
    <n v="105935.6"/>
    <n v="0"/>
    <n v="-5178"/>
    <n v="2507.1799999999998"/>
    <n v="-1090.1199999999999"/>
    <n v="0"/>
    <n v="723.94"/>
    <n v="14554.18"/>
    <n v="0"/>
    <n v="723.94"/>
    <n v="117452.78"/>
    <m/>
    <n v="17785.3"/>
  </r>
  <r>
    <x v="1"/>
    <s v="42559"/>
    <s v="PUNIA1"/>
    <x v="3"/>
    <s v="Renee Punia Fund"/>
    <n v="110112.39"/>
    <n v="0"/>
    <n v="-5385"/>
    <n v="2606.0100000000002"/>
    <n v="-1133.08"/>
    <n v="0"/>
    <n v="752.48"/>
    <n v="15127.66"/>
    <n v="0"/>
    <n v="752.48"/>
    <n v="122080.46"/>
    <m/>
    <n v="18486.149999999998"/>
  </r>
  <r>
    <x v="1"/>
    <s v="42558"/>
    <s v="KEHILL1"/>
    <x v="3"/>
    <s v="The Kehillah Fund"/>
    <n v="65717.36"/>
    <n v="108"/>
    <n v="0"/>
    <n v="1643.12"/>
    <n v="0"/>
    <n v="0"/>
    <n v="455.09"/>
    <n v="9412.58"/>
    <n v="0"/>
    <n v="455.09"/>
    <n v="77336.149999999994"/>
    <m/>
    <n v="11510.79"/>
  </r>
  <r>
    <x v="1"/>
    <s v="42557"/>
    <s v="FIF1"/>
    <x v="3"/>
    <s v="Foundation Investment Fund"/>
    <n v="139317.56"/>
    <n v="0"/>
    <n v="-60000"/>
    <n v="2757.58"/>
    <n v="0"/>
    <n v="0"/>
    <n v="919.46"/>
    <n v="17522.22"/>
    <n v="0"/>
    <n v="919.46"/>
    <n v="100516.82"/>
    <m/>
    <n v="21199.260000000002"/>
  </r>
  <r>
    <x v="1"/>
    <s v="42555"/>
    <s v="UJFPMB4"/>
    <x v="0"/>
    <s v="UJFPMB Julius and Dorothy Koppelman Designated Fund"/>
    <n v="591006.71999999997"/>
    <n v="0"/>
    <n v="-65000"/>
    <n v="13554.92"/>
    <n v="-5732.08"/>
    <n v="0"/>
    <n v="4003.18"/>
    <n v="80082.53"/>
    <n v="0"/>
    <n v="4003.18"/>
    <n v="617915.27"/>
    <m/>
    <n v="97640.62999999999"/>
  </r>
  <r>
    <x v="1"/>
    <s v="42554"/>
    <s v="UJFPMB3"/>
    <x v="0"/>
    <s v="UJFPMB Shirley Kobak Lion of Judah Endowment Fund"/>
    <n v="87450.03"/>
    <n v="0"/>
    <n v="-4276"/>
    <n v="2069.6799999999998"/>
    <n v="-899.89"/>
    <n v="0"/>
    <n v="597.63"/>
    <n v="12014.35"/>
    <n v="0"/>
    <n v="597.63"/>
    <n v="96955.8"/>
    <m/>
    <n v="14681.66"/>
  </r>
  <r>
    <x v="1"/>
    <s v="42553"/>
    <s v="UJFPMB2"/>
    <x v="0"/>
    <s v="UJFPMB Estates Fund"/>
    <n v="41482.97"/>
    <n v="0"/>
    <n v="0"/>
    <n v="1029.75"/>
    <n v="-442.84"/>
    <n v="0"/>
    <n v="286.87"/>
    <n v="5908.22"/>
    <n v="0"/>
    <n v="286.87"/>
    <n v="48264.97"/>
    <m/>
    <n v="7224.84"/>
  </r>
  <r>
    <x v="1"/>
    <s v="42552"/>
    <s v="SRF1"/>
    <x v="0"/>
    <s v="Soviet Resettlement Fund"/>
    <n v="768.17"/>
    <n v="0"/>
    <n v="0"/>
    <n v="19.149999999999999"/>
    <n v="0"/>
    <n v="0"/>
    <n v="5.32"/>
    <n v="109.89"/>
    <n v="0"/>
    <n v="5.32"/>
    <n v="902.53"/>
    <m/>
    <n v="134.35999999999999"/>
  </r>
  <r>
    <x v="1"/>
    <s v="42551"/>
    <s v="PACK1"/>
    <x v="0"/>
    <s v="JFCS Pack Scholarship Fund"/>
    <n v="17739.05"/>
    <n v="0"/>
    <n v="-692"/>
    <n v="423.96"/>
    <n v="-183.92"/>
    <n v="0"/>
    <n v="121.53"/>
    <n v="2455.15"/>
    <n v="0"/>
    <n v="121.53"/>
    <n v="19863.77"/>
    <m/>
    <n v="3000.6400000000003"/>
  </r>
  <r>
    <x v="1"/>
    <s v="42550"/>
    <s v="AHALF1"/>
    <x v="0"/>
    <s v="AHA Sandy Light Fund"/>
    <n v="19129.2"/>
    <n v="994"/>
    <n v="-743"/>
    <n v="460.03"/>
    <n v="-199.57"/>
    <n v="0"/>
    <n v="131.1"/>
    <n v="2657.26"/>
    <n v="0"/>
    <n v="131.1"/>
    <n v="22429.02"/>
    <m/>
    <n v="3248.39"/>
  </r>
  <r>
    <x v="1"/>
    <s v="42549"/>
    <s v="SILK1"/>
    <x v="1"/>
    <s v="Allen and Judith Silk Philanthropic Fund"/>
    <n v="23526.21"/>
    <n v="0"/>
    <n v="-8300"/>
    <n v="529.37"/>
    <n v="-240.46"/>
    <n v="0"/>
    <n v="155.80000000000001"/>
    <n v="3138.93"/>
    <n v="0"/>
    <n v="155.80000000000001"/>
    <n v="18809.849999999999"/>
    <m/>
    <n v="3824.1"/>
  </r>
  <r>
    <x v="1"/>
    <s v="42548"/>
    <s v="ROJER2"/>
    <x v="2"/>
    <s v="Goldie B. Rojer Hunger Relief Fund"/>
    <n v="50205.1"/>
    <n v="0"/>
    <n v="-1965"/>
    <n v="1199.8"/>
    <n v="-520.48"/>
    <n v="0"/>
    <n v="343.93"/>
    <n v="6947.93"/>
    <n v="0"/>
    <n v="343.93"/>
    <n v="56211.28"/>
    <m/>
    <n v="8491.66"/>
  </r>
  <r>
    <x v="1"/>
    <s v="42547"/>
    <s v="BERKOW5"/>
    <x v="2"/>
    <s v="Anne and Bernard Berkowitz Legacy Fund"/>
    <n v="11894.93"/>
    <n v="0"/>
    <n v="-580"/>
    <n v="281.5"/>
    <n v="-128.18"/>
    <n v="0"/>
    <n v="81.28"/>
    <n v="1634.23"/>
    <n v="0"/>
    <n v="81.28"/>
    <n v="13183.76"/>
    <m/>
    <n v="1997.01"/>
  </r>
  <r>
    <x v="1"/>
    <s v="42546"/>
    <s v="YSF1"/>
    <x v="4"/>
    <s v="Youth Scholarship Fund"/>
    <n v="4567.6099999999997"/>
    <n v="0"/>
    <n v="0"/>
    <n v="114.08"/>
    <n v="0"/>
    <n v="0"/>
    <n v="31.63"/>
    <n v="653.63"/>
    <n v="0"/>
    <n v="31.63"/>
    <n v="5366.95"/>
    <m/>
    <n v="799.34"/>
  </r>
  <r>
    <x v="1"/>
    <s v="42545"/>
    <s v="WOLLIN1"/>
    <x v="4"/>
    <s v="Wollin Scholarship Fund"/>
    <n v="33270.480000000003"/>
    <n v="0"/>
    <n v="-5000"/>
    <n v="711.76"/>
    <n v="-315.81"/>
    <n v="0"/>
    <n v="223.35"/>
    <n v="4219.21"/>
    <n v="0"/>
    <n v="223.35"/>
    <n v="33108.99"/>
    <m/>
    <n v="5154.3200000000006"/>
  </r>
  <r>
    <x v="1"/>
    <s v="42544"/>
    <s v="UJFPMB1"/>
    <x v="4"/>
    <s v="UJFPMB Income Fund"/>
    <n v="10131.56"/>
    <n v="0"/>
    <n v="-395"/>
    <n v="242.1"/>
    <n v="-115.25"/>
    <n v="0"/>
    <n v="69.400000000000006"/>
    <n v="1401.91"/>
    <n v="0"/>
    <n v="69.400000000000006"/>
    <n v="11334.72"/>
    <m/>
    <n v="1713.41"/>
  </r>
  <r>
    <x v="1"/>
    <s v="42543"/>
    <s v="SIF1"/>
    <x v="4"/>
    <s v="Scholarship Investment Fund"/>
    <n v="24499.040000000001"/>
    <n v="0"/>
    <n v="-943"/>
    <n v="586.27"/>
    <n v="-254.1"/>
    <n v="0"/>
    <n v="168.14"/>
    <n v="3390.1"/>
    <n v="0"/>
    <n v="168.14"/>
    <n v="27446.45"/>
    <m/>
    <n v="4144.51"/>
  </r>
  <r>
    <x v="1"/>
    <s v="42542"/>
    <s v="OFFNER1"/>
    <x v="2"/>
    <s v="Offner JFCS Senior Services Fund"/>
    <n v="15126.15"/>
    <n v="0"/>
    <n v="-590"/>
    <n v="361.58"/>
    <n v="-156.84"/>
    <n v="0"/>
    <n v="103.62"/>
    <n v="2093.5300000000002"/>
    <n v="0"/>
    <n v="103.62"/>
    <n v="16938.04"/>
    <m/>
    <n v="2558.73"/>
  </r>
  <r>
    <x v="1"/>
    <s v="42541"/>
    <s v="KLATZK2"/>
    <x v="4"/>
    <s v="Clive B. Klatzkin PACE Designated Fund"/>
    <n v="40016.85"/>
    <n v="0"/>
    <n v="0"/>
    <n v="993.41"/>
    <n v="-427.19"/>
    <n v="0"/>
    <n v="276.75"/>
    <n v="5699.38"/>
    <n v="0"/>
    <n v="276.75"/>
    <n v="46559.199999999997"/>
    <m/>
    <n v="6969.54"/>
  </r>
  <r>
    <x v="1"/>
    <s v="42540"/>
    <s v="KELSEY2"/>
    <x v="4"/>
    <s v="Harold H. Kelsey Greenwood House Fund"/>
    <n v="106440.58"/>
    <n v="0"/>
    <n v="-9276"/>
    <n v="2422.7800000000002"/>
    <n v="-1063.23"/>
    <n v="0"/>
    <n v="720.56"/>
    <n v="14203.71"/>
    <n v="0"/>
    <n v="720.56"/>
    <n v="113448.4"/>
    <m/>
    <n v="17347.05"/>
  </r>
  <r>
    <x v="1"/>
    <s v="42539"/>
    <s v="KAHN7"/>
    <x v="4"/>
    <s v="Albert B. Kahn Scholarship Fund"/>
    <n v="129856.45"/>
    <n v="0"/>
    <n v="-5012"/>
    <n v="3107.27"/>
    <n v="-1346.74"/>
    <n v="0"/>
    <n v="891.28"/>
    <n v="17968.57"/>
    <n v="0"/>
    <n v="891.28"/>
    <n v="145464.82999999999"/>
    <m/>
    <n v="21967.119999999999"/>
  </r>
  <r>
    <x v="1"/>
    <s v="42537"/>
    <s v="GHIF1"/>
    <x v="4"/>
    <s v="Greenwood House Income Fund"/>
    <n v="10634.71"/>
    <n v="0"/>
    <n v="-414"/>
    <n v="254.14"/>
    <n v="-119.11"/>
    <n v="0"/>
    <n v="72.84"/>
    <n v="1471.72"/>
    <n v="0"/>
    <n v="72.84"/>
    <n v="11900.3"/>
    <m/>
    <n v="1798.7"/>
  </r>
  <r>
    <x v="1"/>
    <s v="42536"/>
    <s v="GLAZER2"/>
    <x v="4"/>
    <s v="Henry and Geralyn Glazer Greenwood House Scholarship Fund"/>
    <n v="34584.78"/>
    <n v="0"/>
    <n v="-1300"/>
    <n v="835.92"/>
    <n v="-362.55"/>
    <n v="0"/>
    <n v="237.5"/>
    <n v="4851.91"/>
    <n v="0"/>
    <n v="237.5"/>
    <n v="38847.56"/>
    <m/>
    <n v="5925.33"/>
  </r>
  <r>
    <x v="1"/>
    <s v="42535"/>
    <s v="GARB3"/>
    <x v="4"/>
    <s v="Benjamin Garb Scholarship Fund"/>
    <n v="34920.22"/>
    <n v="0"/>
    <n v="-1345"/>
    <n v="835.66"/>
    <n v="-362.18"/>
    <n v="0"/>
    <n v="239.69"/>
    <n v="4831.93"/>
    <n v="0"/>
    <n v="239.69"/>
    <n v="39120.32"/>
    <m/>
    <n v="5907.28"/>
  </r>
  <r>
    <x v="1"/>
    <s v="42534"/>
    <s v="EDINIT1"/>
    <x v="4"/>
    <s v="Educational Initiative Fund"/>
    <n v="40017.31"/>
    <n v="20000"/>
    <n v="-1566"/>
    <n v="1040.8"/>
    <n v="-414.86"/>
    <n v="0"/>
    <n v="274.12"/>
    <n v="5567.56"/>
    <n v="0"/>
    <n v="274.12"/>
    <n v="64918.93"/>
    <m/>
    <n v="6882.4800000000005"/>
  </r>
  <r>
    <x v="1"/>
    <s v="42533"/>
    <s v="DENBO4"/>
    <x v="4"/>
    <s v="Alexander &amp; Syble G. Denbo Penn State/Dickinson School of Law Fund"/>
    <n v="217149.74"/>
    <n v="0"/>
    <n v="-18923"/>
    <n v="4944.0200000000004"/>
    <n v="-2166.59"/>
    <n v="0"/>
    <n v="1472.99"/>
    <n v="28611.360000000001"/>
    <n v="0"/>
    <n v="1472.99"/>
    <n v="231088.52"/>
    <m/>
    <n v="35028.370000000003"/>
  </r>
  <r>
    <x v="1"/>
    <s v="42532"/>
    <s v="DENBO3"/>
    <x v="2"/>
    <s v="Alexander &amp; Syble G. Denbo JFCS Fund"/>
    <n v="1427612.15"/>
    <n v="0"/>
    <n v="-84322.89"/>
    <n v="33823.980000000003"/>
    <n v="-13547.53"/>
    <n v="0"/>
    <n v="9778.19"/>
    <n v="196034.6"/>
    <n v="0"/>
    <n v="9778.19"/>
    <n v="1569378.5"/>
    <m/>
    <n v="239636.77000000002"/>
  </r>
  <r>
    <x v="1"/>
    <s v="42531"/>
    <s v="DENBO2"/>
    <x v="2"/>
    <s v="Alexander &amp; Syble G. Denbo Greenwood House Fund"/>
    <n v="1252134.1399999999"/>
    <n v="0"/>
    <n v="-110855.54"/>
    <n v="28788.52"/>
    <n v="-11970.86"/>
    <n v="0"/>
    <n v="8514.93"/>
    <n v="168116.78"/>
    <n v="0"/>
    <n v="8514.93"/>
    <n v="1334727.97"/>
    <m/>
    <n v="205420.22999999998"/>
  </r>
  <r>
    <x v="1"/>
    <s v="42530"/>
    <s v="DENBO1"/>
    <x v="4"/>
    <s v="Alexander Denbo School Fund"/>
    <n v="20170.29"/>
    <n v="0"/>
    <n v="-802"/>
    <n v="492.45"/>
    <n v="-213.27"/>
    <n v="0"/>
    <n v="139.47"/>
    <n v="2827.5"/>
    <n v="0"/>
    <n v="139.47"/>
    <n v="22614.44"/>
    <m/>
    <n v="3459.4199999999996"/>
  </r>
  <r>
    <x v="1"/>
    <s v="42529"/>
    <s v="AHAPIF1"/>
    <x v="4"/>
    <s v="AHA Pooled Special Funds"/>
    <n v="2142.61"/>
    <n v="0"/>
    <n v="0"/>
    <n v="53.53"/>
    <n v="0"/>
    <n v="0"/>
    <n v="14.84"/>
    <n v="306.61"/>
    <n v="0"/>
    <n v="14.84"/>
    <n v="2517.59"/>
    <m/>
    <n v="374.97999999999996"/>
  </r>
  <r>
    <x v="1"/>
    <s v="42528"/>
    <s v="ZELTT1"/>
    <x v="1"/>
    <s v="Harold &amp; Marilyn Zeltt Charitable Fund"/>
    <n v="26771.279999999999"/>
    <n v="0"/>
    <n v="-6250"/>
    <n v="545.34"/>
    <n v="-237.77"/>
    <n v="0"/>
    <n v="176.81"/>
    <n v="3224.23"/>
    <n v="0"/>
    <n v="176.81"/>
    <n v="24229.89"/>
    <m/>
    <n v="3946.38"/>
  </r>
  <r>
    <x v="1"/>
    <s v="42527"/>
    <s v="WISOTS1"/>
    <x v="1"/>
    <s v="Wisotsky Family Philanthropic Fund"/>
    <n v="5899.74"/>
    <n v="0"/>
    <n v="-3800"/>
    <n v="78.77"/>
    <n v="-74.3"/>
    <n v="0"/>
    <n v="35.89"/>
    <n v="607.55999999999995"/>
    <n v="0"/>
    <n v="35.89"/>
    <n v="2747.66"/>
    <m/>
    <n v="722.21999999999991"/>
  </r>
  <r>
    <x v="1"/>
    <s v="42525"/>
    <s v="URKEN1"/>
    <x v="1"/>
    <s v="Ernestine and Karl Urken Philanthropic Fund"/>
    <n v="12491.43"/>
    <n v="0"/>
    <n v="500"/>
    <n v="314.19"/>
    <n v="-135.88"/>
    <n v="0"/>
    <n v="86.39"/>
    <n v="1778.3"/>
    <n v="0"/>
    <n v="86.39"/>
    <n v="15034.43"/>
    <m/>
    <n v="2178.8799999999997"/>
  </r>
  <r>
    <x v="1"/>
    <s v="42524"/>
    <s v="SUCHAR1"/>
    <x v="1"/>
    <s v="Sucharow Family Charitable Fund"/>
    <n v="478630.29"/>
    <n v="300000"/>
    <n v="-132000"/>
    <n v="15163.63"/>
    <n v="-6159.41"/>
    <n v="0"/>
    <n v="3607.8"/>
    <n v="81123.86"/>
    <n v="0"/>
    <n v="3607.8"/>
    <n v="740366.17"/>
    <m/>
    <n v="99895.290000000008"/>
  </r>
  <r>
    <x v="1"/>
    <s v="42523"/>
    <s v="STIX1"/>
    <x v="1"/>
    <s v="Stix Charitable Fund"/>
    <n v="171681.5"/>
    <n v="0"/>
    <n v="0"/>
    <n v="4261.7700000000004"/>
    <n v="-1832.73"/>
    <n v="0"/>
    <n v="1187.28"/>
    <n v="24451.8"/>
    <n v="0"/>
    <n v="1187.28"/>
    <n v="199749.62"/>
    <m/>
    <n v="29900.85"/>
  </r>
  <r>
    <x v="1"/>
    <s v="42522"/>
    <s v="SMUKLE3"/>
    <x v="1"/>
    <s v="Smukler Fund"/>
    <n v="935886.3"/>
    <n v="0"/>
    <n v="-90000"/>
    <n v="21600.77"/>
    <n v="-9527.75"/>
    <n v="0"/>
    <n v="6355.52"/>
    <n v="127568.11"/>
    <n v="0"/>
    <n v="6355.52"/>
    <n v="991882.95"/>
    <m/>
    <n v="155524.4"/>
  </r>
  <r>
    <x v="1"/>
    <s v="42520"/>
    <s v="SHECHT5"/>
    <x v="1"/>
    <s v="Shechtel Children's Fund"/>
    <n v="6218.31"/>
    <n v="0"/>
    <n v="0"/>
    <n v="154.28"/>
    <n v="-86.48"/>
    <n v="0"/>
    <n v="43"/>
    <n v="884.91"/>
    <n v="0"/>
    <n v="43"/>
    <n v="7214.02"/>
    <m/>
    <n v="1082.19"/>
  </r>
  <r>
    <x v="1"/>
    <s v="42519"/>
    <s v="SCHWAR33"/>
    <x v="1"/>
    <s v="Judith &amp; Martin Schwartz Family Charitable Trust"/>
    <n v="98504.58"/>
    <n v="17401.419999999998"/>
    <n v="-19650"/>
    <n v="2454.3000000000002"/>
    <n v="-1060.0899999999999"/>
    <n v="0"/>
    <n v="684.39"/>
    <n v="14122.5"/>
    <n v="0"/>
    <n v="684.39"/>
    <n v="112457.1"/>
    <m/>
    <n v="17261.189999999999"/>
  </r>
  <r>
    <x v="1"/>
    <s v="42518"/>
    <s v="SCHNUR3"/>
    <x v="1"/>
    <s v="Schnur Family Philanthropic Fund"/>
    <n v="150426.29"/>
    <n v="0"/>
    <n v="-28000"/>
    <n v="3407.71"/>
    <n v="-1525.35"/>
    <n v="0"/>
    <n v="1019.16"/>
    <n v="19785.330000000002"/>
    <n v="0"/>
    <n v="1019.16"/>
    <n v="145113.14000000001"/>
    <m/>
    <n v="24212.2"/>
  </r>
  <r>
    <x v="1"/>
    <s v="42516"/>
    <s v="SHAKUN1"/>
    <x v="1"/>
    <s v="Shakun &amp; Devery Family Fund"/>
    <n v="19250"/>
    <n v="0"/>
    <n v="-6000"/>
    <n v="443.11"/>
    <n v="-205.51"/>
    <n v="0"/>
    <n v="133.13"/>
    <n v="2425.87"/>
    <n v="0"/>
    <n v="133.13"/>
    <n v="16046.6"/>
    <m/>
    <n v="3002.11"/>
  </r>
  <r>
    <x v="1"/>
    <s v="42515"/>
    <s v="SCHAEF7"/>
    <x v="1"/>
    <s v="Schaefer Family Philanthropic Fund"/>
    <n v="75511.23"/>
    <n v="15000"/>
    <n v="-21454"/>
    <n v="1631.5"/>
    <n v="-712.07"/>
    <n v="0"/>
    <n v="500.6"/>
    <n v="9638.5300000000007"/>
    <n v="0"/>
    <n v="500.6"/>
    <n v="80115.789999999994"/>
    <m/>
    <n v="11770.630000000001"/>
  </r>
  <r>
    <x v="1"/>
    <s v="42514"/>
    <s v="KOHN6"/>
    <x v="2"/>
    <s v="RMK PACE Fund"/>
    <n v="90021.26"/>
    <n v="0"/>
    <n v="0"/>
    <n v="2234.65"/>
    <n v="-960.98"/>
    <n v="0"/>
    <n v="622.55999999999995"/>
    <n v="12821.31"/>
    <n v="0"/>
    <n v="622.55999999999995"/>
    <n v="104738.8"/>
    <m/>
    <n v="15678.519999999999"/>
  </r>
  <r>
    <x v="1"/>
    <s v="42513"/>
    <s v="PIMLEY1"/>
    <x v="1"/>
    <s v="Oliver Jenson Pimley Tzedakah Fund"/>
    <n v="7241.89"/>
    <n v="0"/>
    <n v="0"/>
    <n v="179.69"/>
    <n v="-94.53"/>
    <n v="0"/>
    <n v="50.09"/>
    <n v="1030.68"/>
    <n v="0"/>
    <n v="50.09"/>
    <n v="8407.82"/>
    <m/>
    <n v="1260.46"/>
  </r>
  <r>
    <x v="1"/>
    <s v="42512"/>
    <s v="PERLMA8"/>
    <x v="1"/>
    <s v="Bonnie and Richard Perlman Philanthropic Fund"/>
    <n v="10096.280000000001"/>
    <n v="14958.33"/>
    <n v="-8850"/>
    <n v="437.61"/>
    <n v="-174.74"/>
    <n v="0"/>
    <n v="86.7"/>
    <n v="1961.65"/>
    <n v="0"/>
    <n v="86.7"/>
    <n v="18515.830000000002"/>
    <m/>
    <n v="2485.96"/>
  </r>
  <r>
    <x v="1"/>
    <s v="42511"/>
    <s v="PERLMA7"/>
    <x v="1"/>
    <s v="B. Perlman Family Charitable Fund"/>
    <n v="12383.27"/>
    <n v="13000"/>
    <n v="-14000"/>
    <n v="276.73"/>
    <n v="-125.41"/>
    <n v="0"/>
    <n v="85.35"/>
    <n v="1614.97"/>
    <n v="0"/>
    <n v="85.35"/>
    <n v="13234.91"/>
    <m/>
    <n v="1977.05"/>
  </r>
  <r>
    <x v="1"/>
    <s v="42510"/>
    <s v="NEUMAN3"/>
    <x v="1"/>
    <s v="Jerry Neumann &amp; Naomi Richman Philanthropic Fund"/>
    <n v="27902.04"/>
    <n v="18848.509999999998"/>
    <n v="-3800"/>
    <n v="829.38"/>
    <n v="-373.52"/>
    <n v="0"/>
    <n v="188.46"/>
    <n v="4767.2700000000004"/>
    <n v="0"/>
    <n v="188.46"/>
    <n v="48362.14"/>
    <m/>
    <n v="5785.1100000000006"/>
  </r>
  <r>
    <x v="1"/>
    <s v="42509"/>
    <s v="MILLER147"/>
    <x v="1"/>
    <s v="Sue Ellen and David H. Miller Family Charitable Fund"/>
    <n v="12507.18"/>
    <n v="0"/>
    <n v="0"/>
    <n v="310.43"/>
    <n v="-136"/>
    <n v="0"/>
    <n v="86.49"/>
    <n v="1781.17"/>
    <n v="0"/>
    <n v="86.49"/>
    <n v="14549.27"/>
    <m/>
    <n v="2178.0899999999997"/>
  </r>
  <r>
    <x v="1"/>
    <s v="42508"/>
    <s v="KLATZK1"/>
    <x v="1"/>
    <s v="Clive and Audrey Klatzkin Family Philanthropic Fund"/>
    <n v="63313.62"/>
    <n v="0"/>
    <n v="-12000"/>
    <n v="1460.49"/>
    <n v="-645.67999999999995"/>
    <n v="0"/>
    <n v="437.57"/>
    <n v="8550.2199999999993"/>
    <n v="0"/>
    <n v="437.57"/>
    <n v="61116.22"/>
    <m/>
    <n v="10448.279999999999"/>
  </r>
  <r>
    <x v="1"/>
    <s v="42507"/>
    <s v="KALISH2"/>
    <x v="1"/>
    <s v="Peggy and Errol Kalish Philanthropic Fund"/>
    <n v="63284.959999999999"/>
    <n v="0"/>
    <n v="0"/>
    <n v="1571.01"/>
    <n v="-675.58"/>
    <n v="0"/>
    <n v="437.66"/>
    <n v="9013.3700000000008"/>
    <n v="0"/>
    <n v="437.66"/>
    <n v="73631.42"/>
    <m/>
    <n v="11022.04"/>
  </r>
  <r>
    <x v="1"/>
    <s v="42506"/>
    <s v="KAHN6"/>
    <x v="1"/>
    <s v="Kahn Family Philanthropic Fund"/>
    <n v="8501.16"/>
    <n v="0"/>
    <n v="0"/>
    <n v="210.94"/>
    <n v="-104.44"/>
    <n v="0"/>
    <n v="58.79"/>
    <n v="1210.22"/>
    <n v="0"/>
    <n v="58.79"/>
    <n v="9876.67"/>
    <m/>
    <n v="1479.95"/>
  </r>
  <r>
    <x v="1"/>
    <s v="42505"/>
    <s v="HARRIS51"/>
    <x v="1"/>
    <s v="Sara Jane and Morris Harris Philanthropic Fund"/>
    <n v="79136.75"/>
    <n v="0"/>
    <n v="0"/>
    <n v="1964.47"/>
    <n v="-844.8"/>
    <n v="0"/>
    <n v="547.27"/>
    <n v="11271.07"/>
    <n v="0"/>
    <n v="547.27"/>
    <n v="92074.76"/>
    <m/>
    <n v="13782.81"/>
  </r>
  <r>
    <x v="1"/>
    <s v="42504"/>
    <s v="GOODMA11"/>
    <x v="1"/>
    <s v="Goodman Family Philanthropic Fund"/>
    <n v="29243.72"/>
    <n v="0"/>
    <n v="0"/>
    <n v="725.97"/>
    <n v="-312.19"/>
    <n v="0"/>
    <n v="202.24"/>
    <n v="4165.05"/>
    <n v="0"/>
    <n v="202.24"/>
    <n v="34024.79"/>
    <m/>
    <n v="5093.26"/>
  </r>
  <r>
    <x v="1"/>
    <s v="42503"/>
    <s v="GOLDMA21"/>
    <x v="1"/>
    <s v="Debby and Peter Goldman Fund"/>
    <n v="147667.21"/>
    <n v="0"/>
    <n v="0"/>
    <n v="3665.68"/>
    <n v="-1576.37"/>
    <n v="0"/>
    <n v="1021.22"/>
    <n v="21031.51"/>
    <n v="0"/>
    <n v="1021.22"/>
    <n v="171809.25"/>
    <m/>
    <n v="25718.41"/>
  </r>
  <r>
    <x v="1"/>
    <s v="42502"/>
    <s v="GLAZER1"/>
    <x v="1"/>
    <s v="Richard M. Glazer Philanthropic Fund"/>
    <n v="14554.37"/>
    <n v="8479.4500000000007"/>
    <n v="-1600"/>
    <n v="350.6"/>
    <n v="-152.27000000000001"/>
    <n v="0"/>
    <n v="99.87"/>
    <n v="2026.55"/>
    <n v="0"/>
    <n v="99.87"/>
    <n v="23758.57"/>
    <m/>
    <n v="2477.02"/>
  </r>
  <r>
    <x v="1"/>
    <s v="42499"/>
    <s v="FELDMA13"/>
    <x v="1"/>
    <s v="Talia Feldman Fund for Tzedakah"/>
    <n v="20083.16"/>
    <n v="0"/>
    <n v="-4600"/>
    <n v="452.61"/>
    <n v="-205.94"/>
    <n v="0"/>
    <n v="136.74"/>
    <n v="2620.5700000000002"/>
    <n v="0"/>
    <n v="136.74"/>
    <n v="18487.14"/>
    <m/>
    <n v="3209.92"/>
  </r>
  <r>
    <x v="1"/>
    <s v="42498"/>
    <s v="FANNIN3"/>
    <x v="1"/>
    <s v="Lillian and Arthur Fanning Memorial Fund"/>
    <n v="58469.38"/>
    <n v="0"/>
    <n v="-3600"/>
    <n v="1388.87"/>
    <n v="-605.77"/>
    <n v="0"/>
    <n v="399.72"/>
    <n v="8123.47"/>
    <n v="0"/>
    <n v="399.72"/>
    <n v="64175.67"/>
    <m/>
    <n v="9912.06"/>
  </r>
  <r>
    <x v="1"/>
    <s v="42497"/>
    <s v="FAMILA1"/>
    <x v="1"/>
    <s v="Rosalind &quot;Mimi&quot; and Aaron &quot;Poppy&quot; Familant Fund"/>
    <n v="24849.05"/>
    <n v="0"/>
    <n v="-10000"/>
    <n v="466.18"/>
    <n v="-215.12"/>
    <n v="0"/>
    <n v="160.44"/>
    <n v="3145.55"/>
    <n v="0"/>
    <n v="160.44"/>
    <n v="18406.099999999999"/>
    <m/>
    <n v="3772.17"/>
  </r>
  <r>
    <x v="1"/>
    <s v="42496"/>
    <s v="ENTIN1"/>
    <x v="1"/>
    <s v="Sadie and Leon Entin Memorial Fund"/>
    <n v="10865.18"/>
    <n v="0"/>
    <n v="-750"/>
    <n v="259.43"/>
    <n v="-121.78"/>
    <n v="0"/>
    <n v="74.48"/>
    <n v="1509.54"/>
    <n v="0"/>
    <n v="74.48"/>
    <n v="11836.85"/>
    <m/>
    <n v="1843.45"/>
  </r>
  <r>
    <x v="1"/>
    <s v="42495"/>
    <s v="EGGER2"/>
    <x v="1"/>
    <s v="Audrey and David Egger Charitable Fund"/>
    <n v="14421.98"/>
    <n v="49859.13"/>
    <n v="-24000"/>
    <n v="995.28"/>
    <n v="-458.68"/>
    <n v="0"/>
    <n v="145.51"/>
    <n v="5369.25"/>
    <n v="0"/>
    <n v="145.51"/>
    <n v="46332.47"/>
    <m/>
    <n v="6510.04"/>
  </r>
  <r>
    <x v="1"/>
    <s v="42494"/>
    <s v="COHEN57"/>
    <x v="1"/>
    <s v="Janet and Howard Cohen Philanthropic Fund"/>
    <n v="42387.7"/>
    <n v="0"/>
    <n v="-500"/>
    <n v="1051.97"/>
    <n v="-452.49"/>
    <n v="0"/>
    <n v="293.14"/>
    <n v="6035.54"/>
    <n v="0"/>
    <n v="293.14"/>
    <n v="48815.86"/>
    <m/>
    <n v="7380.6500000000005"/>
  </r>
  <r>
    <x v="1"/>
    <s v="42493"/>
    <s v="BURNS15"/>
    <x v="1"/>
    <s v="Joseph Burns Fund"/>
    <n v="3967.32"/>
    <n v="3000"/>
    <n v="0"/>
    <n v="143.11000000000001"/>
    <n v="-76.319999999999993"/>
    <n v="0"/>
    <n v="30.06"/>
    <n v="740.18"/>
    <n v="0"/>
    <n v="30.06"/>
    <n v="7804.35"/>
    <m/>
    <n v="913.34999999999991"/>
  </r>
  <r>
    <x v="1"/>
    <s v="42492"/>
    <s v="BERMAN14"/>
    <x v="1"/>
    <s v="Ronald and Marie Berman Philanthropic Fund"/>
    <n v="75903.100000000006"/>
    <n v="0"/>
    <n v="-52500"/>
    <n v="1631.59"/>
    <n v="-810.28"/>
    <n v="0"/>
    <n v="524.91999999999996"/>
    <n v="9201.2199999999993"/>
    <n v="0"/>
    <n v="524.91999999999996"/>
    <n v="33950.550000000003"/>
    <m/>
    <n v="11357.73"/>
  </r>
  <r>
    <x v="1"/>
    <s v="42491"/>
    <s v="BERGER10"/>
    <x v="1"/>
    <s v="Samuel S. and Regina Berger Charitable Fund"/>
    <n v="35710.86"/>
    <n v="0"/>
    <n v="0"/>
    <n v="886.45"/>
    <n v="-381.21"/>
    <n v="0"/>
    <n v="246.96"/>
    <n v="5086.13"/>
    <n v="0"/>
    <n v="246.96"/>
    <n v="41549.19"/>
    <m/>
    <n v="6219.54"/>
  </r>
  <r>
    <x v="1"/>
    <s v="42490"/>
    <s v="AXELRO4"/>
    <x v="1"/>
    <s v="Axelrod Family Fund"/>
    <n v="80199.429999999993"/>
    <n v="0"/>
    <n v="-10400"/>
    <n v="1936.09"/>
    <n v="-856.14"/>
    <n v="0"/>
    <n v="554.62"/>
    <n v="11087.01"/>
    <n v="0"/>
    <n v="554.62"/>
    <n v="82521.009999999995"/>
    <m/>
    <n v="13577.720000000001"/>
  </r>
  <r>
    <x v="1"/>
    <s v="42489"/>
    <s v="APPLES1"/>
    <x v="1"/>
    <s v="Louis Applestein Memorial Fund"/>
    <n v="21599.33"/>
    <n v="0"/>
    <n v="0"/>
    <n v="536.15"/>
    <n v="-230.57"/>
    <n v="0"/>
    <n v="149.37"/>
    <n v="3076.26"/>
    <n v="0"/>
    <n v="149.37"/>
    <n v="25130.54"/>
    <m/>
    <n v="3761.78"/>
  </r>
  <r>
    <x v="1"/>
    <s v="42488"/>
    <s v="ANSHEN1"/>
    <x v="1"/>
    <s v="Rose Perlman Anshen and Harold Anshen Memorial Fund"/>
    <n v="29095.360000000001"/>
    <n v="0"/>
    <n v="-3250"/>
    <n v="666.63"/>
    <n v="-295.14"/>
    <n v="0"/>
    <n v="197.31"/>
    <n v="3942.21"/>
    <n v="0"/>
    <n v="197.31"/>
    <n v="30356.37"/>
    <m/>
    <n v="4806.1500000000005"/>
  </r>
  <r>
    <x v="1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2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2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2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2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2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2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2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2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2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2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2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2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2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2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2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2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2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2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2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2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2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2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2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2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2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2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2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2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2"/>
    <s v="56365"/>
    <s v="FREEMA39"/>
    <x v="1"/>
    <s v="Herbert and Joan Freeman Fund"/>
    <n v="0"/>
    <n v="0"/>
    <n v="0"/>
    <n v="0"/>
    <n v="0"/>
    <n v="0"/>
    <n v="0"/>
    <n v="0"/>
    <n v="0"/>
    <n v="0"/>
    <n v="0"/>
    <m/>
    <n v="0"/>
  </r>
  <r>
    <x v="2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2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2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2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2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2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2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2"/>
    <s v="49564"/>
    <s v="JFCS3"/>
    <x v="0"/>
    <s v="JFCS of Greater Mercer County First LIFE &amp; LEGACY Endowment Fund"/>
    <n v="0"/>
    <n v="6000"/>
    <n v="0"/>
    <n v="49.64"/>
    <n v="-15.04"/>
    <n v="0"/>
    <n v="88.69"/>
    <n v="-135.83000000000001"/>
    <n v="0"/>
    <n v="88.69"/>
    <n v="5987.46"/>
    <m/>
    <n v="2.4999999999999858"/>
  </r>
  <r>
    <x v="2"/>
    <s v="49536"/>
    <s v="CHADAS1"/>
    <x v="0"/>
    <s v="Or Chadash LIFE &amp; LEGACY Endowment Fund"/>
    <n v="0"/>
    <n v="6000"/>
    <n v="0"/>
    <n v="51.7"/>
    <n v="-14.97"/>
    <n v="0"/>
    <n v="88.28"/>
    <n v="-164.94"/>
    <n v="0"/>
    <n v="88.28"/>
    <n v="5960.07"/>
    <m/>
    <n v="-24.959999999999994"/>
  </r>
  <r>
    <x v="2"/>
    <s v="49525"/>
    <s v="BETHCH1"/>
    <x v="0"/>
    <s v="Beth Chaim LIFE &amp; LEGACY Endowment Fund"/>
    <n v="0"/>
    <n v="6000"/>
    <n v="0"/>
    <n v="52.65"/>
    <n v="-14.93"/>
    <n v="0"/>
    <n v="88.05"/>
    <n v="-181.56"/>
    <n v="0"/>
    <n v="88.05"/>
    <n v="5944.21"/>
    <m/>
    <n v="-40.86"/>
  </r>
  <r>
    <x v="2"/>
    <s v="49524"/>
    <s v="ADATH1"/>
    <x v="0"/>
    <s v="Adath Israel LIFE &amp; LEGACY Endowment Fund"/>
    <n v="0"/>
    <n v="6000"/>
    <n v="0"/>
    <n v="52.57"/>
    <n v="-14.91"/>
    <n v="0"/>
    <n v="87.95"/>
    <n v="-187.83"/>
    <n v="0"/>
    <n v="87.95"/>
    <n v="5937.78"/>
    <m/>
    <n v="-47.310000000000016"/>
  </r>
  <r>
    <x v="2"/>
    <s v="49304"/>
    <s v="JEWISH28"/>
    <x v="0"/>
    <s v="Jewish Center of Princeton Endowment Fund"/>
    <n v="0"/>
    <n v="14776"/>
    <n v="0"/>
    <n v="78.28"/>
    <n v="-14.91"/>
    <n v="0"/>
    <n v="87.96"/>
    <n v="-403.05"/>
    <n v="0"/>
    <n v="87.96"/>
    <n v="14524.28"/>
    <m/>
    <n v="-236.81"/>
  </r>
  <r>
    <x v="2"/>
    <s v="49253"/>
    <s v="DAVIDS14"/>
    <x v="1"/>
    <s v="The DADA Fund"/>
    <n v="0"/>
    <n v="16751.7"/>
    <n v="-500"/>
    <n v="114.81"/>
    <n v="-37.5"/>
    <n v="0"/>
    <n v="240.31"/>
    <n v="-486.95"/>
    <n v="0"/>
    <n v="240.31"/>
    <n v="16082.37"/>
    <m/>
    <n v="-131.82999999999998"/>
  </r>
  <r>
    <x v="2"/>
    <s v="49131"/>
    <s v="MICHAE8"/>
    <x v="1"/>
    <s v="Manning &amp; Hoffman-Manning Charitable Fund"/>
    <n v="0"/>
    <n v="6000"/>
    <n v="0"/>
    <n v="60.53"/>
    <n v="-75"/>
    <n v="0"/>
    <n v="91.02"/>
    <n v="69.400000000000006"/>
    <n v="0"/>
    <n v="91.02"/>
    <n v="6145.95"/>
    <m/>
    <n v="220.95"/>
  </r>
  <r>
    <x v="2"/>
    <s v="48855"/>
    <s v="MEISEL2"/>
    <x v="1"/>
    <s v="Zachary, Ava &amp; Stella Kovner Meisel Tzedkah Fund"/>
    <n v="0"/>
    <n v="7000"/>
    <n v="0"/>
    <n v="73.61"/>
    <n v="-75"/>
    <n v="0"/>
    <n v="117.38"/>
    <n v="-347.1"/>
    <n v="0"/>
    <n v="117.38"/>
    <n v="6768.89"/>
    <m/>
    <n v="-156.11000000000001"/>
  </r>
  <r>
    <x v="2"/>
    <s v="48533"/>
    <s v="SNOW3"/>
    <x v="1"/>
    <s v="Nagelberg Philanthropic Fund"/>
    <n v="0"/>
    <n v="3284"/>
    <n v="0"/>
    <n v="45.05"/>
    <n v="-75"/>
    <n v="0"/>
    <n v="43.31"/>
    <n v="4.33"/>
    <n v="0"/>
    <n v="43.31"/>
    <n v="3301.69"/>
    <m/>
    <n v="92.69"/>
  </r>
  <r>
    <x v="2"/>
    <s v="48355"/>
    <s v="FREEMA17"/>
    <x v="1"/>
    <s v="Marsha &amp; Eliot Freeman Family Fund"/>
    <n v="0"/>
    <n v="50277.66"/>
    <n v="0"/>
    <n v="660.58"/>
    <n v="-189.03"/>
    <n v="0"/>
    <n v="655.16"/>
    <n v="-972.38"/>
    <n v="0"/>
    <n v="655.16"/>
    <n v="50431.99"/>
    <m/>
    <n v="343.36"/>
  </r>
  <r>
    <x v="2"/>
    <s v="48196"/>
    <s v="JEWISH27"/>
    <x v="3"/>
    <s v="Jewish Community Foundation of Greater Mercer LIFE &amp; LEGACY Endowment Fund"/>
    <n v="0"/>
    <n v="6000"/>
    <n v="0"/>
    <n v="102.32"/>
    <n v="-52.75"/>
    <n v="0"/>
    <n v="74.150000000000006"/>
    <n v="-50.61"/>
    <n v="0"/>
    <n v="74.150000000000006"/>
    <n v="6073.11"/>
    <m/>
    <n v="125.86"/>
  </r>
  <r>
    <x v="2"/>
    <s v="47872"/>
    <s v="WALDOR1"/>
    <x v="1"/>
    <s v="Berman-Waldorf Family Fund"/>
    <n v="0"/>
    <n v="4254.43"/>
    <n v="-1334"/>
    <n v="58"/>
    <n v="-112.5"/>
    <n v="0"/>
    <n v="40.53"/>
    <n v="-9.2899999999999991"/>
    <n v="0"/>
    <n v="40.53"/>
    <n v="2897.17"/>
    <m/>
    <n v="89.240000000000009"/>
  </r>
  <r>
    <x v="2"/>
    <s v="47724"/>
    <s v="SNOW2"/>
    <x v="1"/>
    <s v="Snow - Nagelberg Philanthropic Fund"/>
    <n v="7010.58"/>
    <n v="0"/>
    <n v="-460"/>
    <n v="149.07"/>
    <n v="-150"/>
    <n v="0"/>
    <n v="71.31"/>
    <n v="-134.85"/>
    <n v="0"/>
    <n v="71.31"/>
    <n v="6486.11"/>
    <m/>
    <n v="85.53"/>
  </r>
  <r>
    <x v="2"/>
    <s v="47350"/>
    <s v="FELDMA18"/>
    <x v="1"/>
    <s v="Dena Feldman Fund for Tzedakah"/>
    <n v="2764.1"/>
    <n v="18400"/>
    <n v="-700"/>
    <n v="441.99"/>
    <n v="-190.68"/>
    <n v="0"/>
    <n v="229.86"/>
    <n v="-280.33999999999997"/>
    <n v="0"/>
    <n v="229.86"/>
    <n v="20664.93"/>
    <m/>
    <n v="391.51000000000005"/>
  </r>
  <r>
    <x v="2"/>
    <s v="47349"/>
    <s v="FRAM1"/>
    <x v="1"/>
    <s v="Harvey &amp; Carine Fram Charitable Gift Fund"/>
    <n v="17048.75"/>
    <n v="0"/>
    <n v="0"/>
    <n v="382.53"/>
    <n v="-169.59"/>
    <n v="0"/>
    <n v="189.69"/>
    <n v="-333.27"/>
    <n v="0"/>
    <n v="189.69"/>
    <n v="17118.11"/>
    <m/>
    <n v="238.95"/>
  </r>
  <r>
    <x v="2"/>
    <s v="46976"/>
    <s v="DAVIDS12"/>
    <x v="1"/>
    <s v="Davidson Philanthropic Fund"/>
    <n v="10616.96"/>
    <n v="10000"/>
    <n v="-1000"/>
    <n v="276.69"/>
    <n v="-150"/>
    <n v="0"/>
    <n v="250.98"/>
    <n v="-593.9"/>
    <n v="0"/>
    <n v="250.98"/>
    <n v="19400.73"/>
    <m/>
    <n v="-66.22999999999999"/>
  </r>
  <r>
    <x v="2"/>
    <s v="46842"/>
    <s v="FELDST4"/>
    <x v="1"/>
    <s v="Lori and Michael Feldstein Fund"/>
    <n v="37811.279999999999"/>
    <n v="41862.28"/>
    <n v="-35463.760000000002"/>
    <n v="829.21"/>
    <n v="-449.93"/>
    <n v="0"/>
    <n v="632.30999999999995"/>
    <n v="-623.34"/>
    <n v="0"/>
    <n v="632.30999999999995"/>
    <n v="44598.05"/>
    <m/>
    <n v="838.18"/>
  </r>
  <r>
    <x v="2"/>
    <s v="46751"/>
    <s v="SHAKUN2"/>
    <x v="2"/>
    <s v="Beth El's Future"/>
    <n v="108207.67999999999"/>
    <n v="0"/>
    <n v="-3148"/>
    <n v="2357.58"/>
    <n v="-1052.8900000000001"/>
    <n v="0"/>
    <n v="1168.4100000000001"/>
    <n v="-2054.98"/>
    <n v="0"/>
    <n v="1168.4100000000001"/>
    <n v="105477.8"/>
    <m/>
    <n v="1471.01"/>
  </r>
  <r>
    <x v="2"/>
    <s v="46630"/>
    <s v="KOHN7"/>
    <x v="0"/>
    <s v="The Richard M. Kohn Endowment Fund"/>
    <n v="496463.86"/>
    <n v="0"/>
    <n v="-23927"/>
    <n v="10605.38"/>
    <n v="-4759.93"/>
    <n v="0"/>
    <n v="5254.01"/>
    <n v="-9246.0300000000007"/>
    <n v="0"/>
    <n v="5254.01"/>
    <n v="474390.29"/>
    <m/>
    <n v="6613.3599999999988"/>
  </r>
  <r>
    <x v="2"/>
    <s v="45234"/>
    <s v="LEIBOW1"/>
    <x v="1"/>
    <s v="Donald S. Leibowitz and Karen Brodsky Philanthropic Fund"/>
    <n v="30738.799999999999"/>
    <n v="54650.8"/>
    <n v="-14810"/>
    <n v="1101.24"/>
    <n v="-431.1"/>
    <n v="0"/>
    <n v="622.54"/>
    <n v="85.53"/>
    <n v="0"/>
    <n v="622.54"/>
    <n v="71957.81"/>
    <m/>
    <n v="1809.31"/>
  </r>
  <r>
    <x v="2"/>
    <s v="44365"/>
    <s v="DIAMON3"/>
    <x v="1"/>
    <s v="Rabbi James S. Diamond Memorial Fund"/>
    <n v="8581.61"/>
    <n v="7392.39"/>
    <n v="-2000"/>
    <n v="260.73"/>
    <n v="-150"/>
    <n v="0"/>
    <n v="157.32"/>
    <n v="-227.67"/>
    <n v="0"/>
    <n v="157.32"/>
    <n v="14014.38"/>
    <m/>
    <n v="190.38000000000002"/>
  </r>
  <r>
    <x v="2"/>
    <s v="43836"/>
    <s v="ZLATIN1"/>
    <x v="1"/>
    <s v="Tikkun Olam Fund"/>
    <n v="8646.25"/>
    <n v="7681.6"/>
    <n v="-14040"/>
    <n v="102.26"/>
    <n v="-150"/>
    <n v="0"/>
    <n v="32.49"/>
    <n v="38.119999999999997"/>
    <n v="0"/>
    <n v="32.49"/>
    <n v="2310.7199999999998"/>
    <m/>
    <n v="172.87"/>
  </r>
  <r>
    <x v="2"/>
    <s v="43834"/>
    <s v="GARBER7"/>
    <x v="1"/>
    <s v="Eileen and Robert Garber Family Fund"/>
    <n v="4428.05"/>
    <n v="2000"/>
    <n v="0"/>
    <n v="127.31"/>
    <n v="-150"/>
    <n v="0"/>
    <n v="83.43"/>
    <n v="-114.52"/>
    <n v="0"/>
    <n v="83.43"/>
    <n v="6374.27"/>
    <m/>
    <n v="96.220000000000013"/>
  </r>
  <r>
    <x v="2"/>
    <s v="42917"/>
    <s v="UJFPMB5"/>
    <x v="0"/>
    <s v="UJFPMB Kravitz"/>
    <n v="117452.78"/>
    <n v="0"/>
    <n v="-5595"/>
    <n v="2510.44"/>
    <n v="-1126.5899999999999"/>
    <n v="0"/>
    <n v="1243.74"/>
    <n v="-2188.63"/>
    <n v="0"/>
    <n v="1243.74"/>
    <n v="112296.74"/>
    <m/>
    <n v="1565.55"/>
  </r>
  <r>
    <x v="2"/>
    <s v="42559"/>
    <s v="PUNIA1"/>
    <x v="3"/>
    <s v="Renee Punia Fund"/>
    <n v="122080.46"/>
    <n v="0"/>
    <n v="-5815"/>
    <n v="2609.4"/>
    <n v="-1170.97"/>
    <n v="0"/>
    <n v="1292.74"/>
    <n v="-2274.9499999999998"/>
    <n v="0"/>
    <n v="1292.74"/>
    <n v="116721.68"/>
    <m/>
    <n v="1627.1900000000003"/>
  </r>
  <r>
    <x v="2"/>
    <s v="42558"/>
    <s v="KEHILL1"/>
    <x v="3"/>
    <s v="The Kehillah Fund"/>
    <n v="77336.149999999994"/>
    <n v="2174"/>
    <n v="0"/>
    <n v="1769"/>
    <n v="0"/>
    <n v="0"/>
    <n v="893.21"/>
    <n v="-1552.94"/>
    <n v="0"/>
    <n v="893.21"/>
    <n v="80619.42"/>
    <m/>
    <n v="1109.27"/>
  </r>
  <r>
    <x v="2"/>
    <s v="42557"/>
    <s v="FIF1"/>
    <x v="3"/>
    <s v="Foundation Investment Fund"/>
    <n v="100516.82"/>
    <n v="137500"/>
    <n v="-135320"/>
    <n v="2849.62"/>
    <n v="0"/>
    <n v="0"/>
    <n v="1063.3699999999999"/>
    <n v="1966.51"/>
    <n v="0"/>
    <n v="1063.3699999999999"/>
    <n v="108576.32000000001"/>
    <m/>
    <n v="5879.5"/>
  </r>
  <r>
    <x v="2"/>
    <s v="42555"/>
    <s v="UJFPMB4"/>
    <x v="0"/>
    <s v="UJFPMB Julius and Dorothy Koppelman Designated Fund"/>
    <n v="617915.27"/>
    <n v="0"/>
    <n v="-65000"/>
    <n v="12805.39"/>
    <n v="-5615.58"/>
    <n v="0"/>
    <n v="6144.08"/>
    <n v="-11211.18"/>
    <n v="0"/>
    <n v="6144.08"/>
    <n v="555037.98"/>
    <m/>
    <n v="7738.2899999999991"/>
  </r>
  <r>
    <x v="2"/>
    <s v="42554"/>
    <s v="UJFPMB3"/>
    <x v="0"/>
    <s v="UJFPMB Shirley Kobak Lion of Judah Endowment Fund"/>
    <n v="96955.8"/>
    <n v="0"/>
    <n v="-4618"/>
    <n v="2072.37"/>
    <n v="-929.98"/>
    <n v="0"/>
    <n v="1026.68"/>
    <n v="-1806.71"/>
    <n v="0"/>
    <n v="1026.68"/>
    <n v="92700.160000000003"/>
    <m/>
    <n v="1292.3399999999999"/>
  </r>
  <r>
    <x v="2"/>
    <s v="42553"/>
    <s v="UJFPMB2"/>
    <x v="0"/>
    <s v="UJFPMB Estates Fund"/>
    <n v="48264.97"/>
    <n v="0"/>
    <n v="0"/>
    <n v="1082.8900000000001"/>
    <n v="-480.12"/>
    <n v="0"/>
    <n v="536.95000000000005"/>
    <n v="-943.5"/>
    <n v="0"/>
    <n v="536.95000000000005"/>
    <n v="48461.19"/>
    <m/>
    <n v="676.34000000000015"/>
  </r>
  <r>
    <x v="2"/>
    <s v="42552"/>
    <s v="SRF1"/>
    <x v="0"/>
    <s v="Soviet Resettlement Fund"/>
    <n v="902.53"/>
    <n v="0"/>
    <n v="0"/>
    <n v="20.329999999999998"/>
    <n v="0"/>
    <n v="0"/>
    <n v="10.17"/>
    <n v="-17.71"/>
    <n v="0"/>
    <n v="10.17"/>
    <n v="915.32"/>
    <m/>
    <n v="12.789999999999997"/>
  </r>
  <r>
    <x v="2"/>
    <s v="42551"/>
    <s v="PACK1"/>
    <x v="0"/>
    <s v="JFCS Pack Scholarship Fund"/>
    <n v="19863.77"/>
    <n v="0"/>
    <n v="-757"/>
    <n v="428.76"/>
    <n v="-191.95"/>
    <n v="0"/>
    <n v="212.45"/>
    <n v="-373.67"/>
    <n v="0"/>
    <n v="212.45"/>
    <n v="19182.36"/>
    <m/>
    <n v="267.53999999999996"/>
  </r>
  <r>
    <x v="2"/>
    <s v="42550"/>
    <s v="AHALF1"/>
    <x v="0"/>
    <s v="AHA Sandy Light Fund"/>
    <n v="22429.02"/>
    <n v="197"/>
    <n v="-831"/>
    <n v="483.41"/>
    <n v="-217.4"/>
    <n v="0"/>
    <n v="243.09"/>
    <n v="-428.88"/>
    <n v="0"/>
    <n v="243.09"/>
    <n v="21875.24"/>
    <m/>
    <n v="297.62"/>
  </r>
  <r>
    <x v="2"/>
    <s v="42549"/>
    <s v="SILK1"/>
    <x v="1"/>
    <s v="Allen and Judith Silk Philanthropic Fund"/>
    <n v="18809.849999999999"/>
    <n v="50000"/>
    <n v="-31200"/>
    <n v="684.16"/>
    <n v="-352.81"/>
    <n v="0"/>
    <n v="601.36"/>
    <n v="-2256.64"/>
    <n v="0"/>
    <n v="601.36"/>
    <n v="36285.919999999998"/>
    <m/>
    <n v="-971.12"/>
  </r>
  <r>
    <x v="2"/>
    <s v="42548"/>
    <s v="ROJER2"/>
    <x v="2"/>
    <s v="Goldie B. Rojer Hunger Relief Fund"/>
    <n v="56211.28"/>
    <n v="0"/>
    <n v="-2142"/>
    <n v="1213.4000000000001"/>
    <n v="-543.16999999999996"/>
    <n v="0"/>
    <n v="601.27"/>
    <n v="-1057.74"/>
    <n v="0"/>
    <n v="601.27"/>
    <n v="54283.040000000001"/>
    <m/>
    <n v="756.93000000000006"/>
  </r>
  <r>
    <x v="2"/>
    <s v="42547"/>
    <s v="BERKOW5"/>
    <x v="2"/>
    <s v="Anne and Bernard Berkowitz Legacy Fund"/>
    <n v="13183.76"/>
    <n v="0"/>
    <n v="-628"/>
    <n v="281.45999999999998"/>
    <n v="-150"/>
    <n v="0"/>
    <n v="139.27000000000001"/>
    <n v="-245.58"/>
    <n v="0"/>
    <n v="139.27000000000001"/>
    <n v="12580.91"/>
    <m/>
    <n v="175.14999999999998"/>
  </r>
  <r>
    <x v="2"/>
    <s v="42546"/>
    <s v="YSF1"/>
    <x v="4"/>
    <s v="Youth Scholarship Fund"/>
    <n v="5366.95"/>
    <n v="0"/>
    <n v="0"/>
    <n v="121.22"/>
    <n v="0"/>
    <n v="0"/>
    <n v="60.4"/>
    <n v="-105.24"/>
    <n v="0"/>
    <n v="60.4"/>
    <n v="5443.33"/>
    <m/>
    <n v="76.38"/>
  </r>
  <r>
    <x v="2"/>
    <s v="42545"/>
    <s v="WOLLIN1"/>
    <x v="4"/>
    <s v="Wollin Scholarship Fund"/>
    <n v="33108.99"/>
    <n v="0"/>
    <n v="-5000"/>
    <n v="635.78"/>
    <n v="-292.07"/>
    <n v="0"/>
    <n v="312.17"/>
    <n v="-548.33000000000004"/>
    <n v="0"/>
    <n v="312.17"/>
    <n v="28216.54"/>
    <m/>
    <n v="399.61999999999995"/>
  </r>
  <r>
    <x v="2"/>
    <s v="42544"/>
    <s v="UJFPMB1"/>
    <x v="4"/>
    <s v="UJFPMB Income Fund"/>
    <n v="11334.72"/>
    <n v="0"/>
    <n v="-432"/>
    <n v="244.09"/>
    <n v="-150"/>
    <n v="0"/>
    <n v="120.69"/>
    <n v="-213.12"/>
    <n v="0"/>
    <n v="120.69"/>
    <n v="10904.38"/>
    <m/>
    <n v="151.66"/>
  </r>
  <r>
    <x v="2"/>
    <s v="42543"/>
    <s v="SIF1"/>
    <x v="4"/>
    <s v="Scholarship Investment Fund"/>
    <n v="27446.45"/>
    <n v="0"/>
    <n v="-890"/>
    <n v="597.96"/>
    <n v="-266.91000000000003"/>
    <n v="0"/>
    <n v="295.01"/>
    <n v="-517.13"/>
    <n v="0"/>
    <n v="295.01"/>
    <n v="26665.38"/>
    <m/>
    <n v="375.84000000000003"/>
  </r>
  <r>
    <x v="2"/>
    <s v="42542"/>
    <s v="OFFNER1"/>
    <x v="2"/>
    <s v="Offner JFCS Senior Services Fund"/>
    <n v="16938.04"/>
    <n v="0"/>
    <n v="-645"/>
    <n v="365.61"/>
    <n v="-163.66999999999999"/>
    <n v="0"/>
    <n v="181.19"/>
    <n v="-318.74"/>
    <n v="0"/>
    <n v="181.19"/>
    <n v="16357.43"/>
    <m/>
    <n v="228.06"/>
  </r>
  <r>
    <x v="2"/>
    <s v="42541"/>
    <s v="KLATZK2"/>
    <x v="4"/>
    <s v="Clive B. Klatzkin PACE Designated Fund"/>
    <n v="46559.199999999997"/>
    <n v="0"/>
    <n v="0"/>
    <n v="1044.6099999999999"/>
    <n v="-463.15"/>
    <n v="0"/>
    <n v="517.97"/>
    <n v="-910.17"/>
    <n v="0"/>
    <n v="517.97"/>
    <n v="46748.46"/>
    <m/>
    <n v="652.41"/>
  </r>
  <r>
    <x v="2"/>
    <s v="42540"/>
    <s v="KELSEY2"/>
    <x v="4"/>
    <s v="Harold H. Kelsey Greenwood House Fund"/>
    <n v="113448.4"/>
    <n v="0"/>
    <n v="-9779"/>
    <n v="2327.34"/>
    <n v="-1055.51"/>
    <n v="0"/>
    <n v="1152.0999999999999"/>
    <n v="-2030.04"/>
    <n v="0"/>
    <n v="1152.0999999999999"/>
    <n v="104063.29"/>
    <m/>
    <n v="1449.4"/>
  </r>
  <r>
    <x v="2"/>
    <s v="42539"/>
    <s v="KAHN7"/>
    <x v="4"/>
    <s v="Albert B. Kahn Scholarship Fund"/>
    <n v="145464.82999999999"/>
    <n v="0"/>
    <n v="-4585"/>
    <n v="3170.05"/>
    <n v="-1414.79"/>
    <n v="0"/>
    <n v="1565.26"/>
    <n v="-2759.51"/>
    <n v="0"/>
    <n v="1565.26"/>
    <n v="141440.84"/>
    <m/>
    <n v="1975.8"/>
  </r>
  <r>
    <x v="2"/>
    <s v="42537"/>
    <s v="GHIF1"/>
    <x v="4"/>
    <s v="Greenwood House Income Fund"/>
    <n v="11900.3"/>
    <n v="0"/>
    <n v="-454"/>
    <n v="256.42"/>
    <n v="-150"/>
    <n v="0"/>
    <n v="126.81"/>
    <n v="-223.75"/>
    <n v="0"/>
    <n v="126.81"/>
    <n v="11455.78"/>
    <m/>
    <n v="159.48000000000002"/>
  </r>
  <r>
    <x v="2"/>
    <s v="42536"/>
    <s v="GLAZER2"/>
    <x v="4"/>
    <s v="Henry and Geralyn Glazer Greenwood House Scholarship Fund"/>
    <n v="38847.56"/>
    <n v="0"/>
    <n v="-1500"/>
    <n v="846.35"/>
    <n v="-378.88"/>
    <n v="0"/>
    <n v="415.24"/>
    <n v="-740.71"/>
    <n v="0"/>
    <n v="415.24"/>
    <n v="37489.56"/>
    <m/>
    <n v="520.88"/>
  </r>
  <r>
    <x v="2"/>
    <s v="42535"/>
    <s v="GARB3"/>
    <x v="4"/>
    <s v="Benjamin Garb Scholarship Fund"/>
    <n v="39120.32"/>
    <n v="0"/>
    <n v="-1225"/>
    <n v="852.65"/>
    <n v="-380.51"/>
    <n v="0"/>
    <n v="421.09"/>
    <n v="-742.13"/>
    <n v="0"/>
    <n v="421.09"/>
    <n v="38046.42"/>
    <m/>
    <n v="531.6099999999999"/>
  </r>
  <r>
    <x v="2"/>
    <s v="42534"/>
    <s v="EDINIT1"/>
    <x v="4"/>
    <s v="Educational Initiative Fund"/>
    <n v="64918.93"/>
    <n v="40000"/>
    <n v="-1908"/>
    <n v="1899.85"/>
    <n v="-784.54"/>
    <n v="0"/>
    <n v="1225.4000000000001"/>
    <n v="-1575.88"/>
    <n v="0"/>
    <n v="1225.4000000000001"/>
    <n v="103775.76"/>
    <m/>
    <n v="1549.37"/>
  </r>
  <r>
    <x v="2"/>
    <s v="42533"/>
    <s v="DENBO4"/>
    <x v="4"/>
    <s v="Alexander &amp; Syble G. Denbo Penn State/Dickinson School of Law Fund"/>
    <n v="231088.52"/>
    <n v="0"/>
    <n v="-19920"/>
    <n v="4754.1499999999996"/>
    <n v="-2150.63"/>
    <n v="0"/>
    <n v="2347.7600000000002"/>
    <n v="-4063.87"/>
    <n v="0"/>
    <n v="2347.7600000000002"/>
    <n v="212055.93"/>
    <m/>
    <n v="3038.04"/>
  </r>
  <r>
    <x v="2"/>
    <s v="42532"/>
    <s v="DENBO3"/>
    <x v="2"/>
    <s v="Alexander &amp; Syble G. Denbo JFCS Fund"/>
    <n v="1569378.5"/>
    <n v="0"/>
    <n v="-91122.19"/>
    <n v="33569.33"/>
    <n v="-13813.08"/>
    <n v="0"/>
    <n v="16334.85"/>
    <n v="-29416.98"/>
    <n v="0"/>
    <n v="16334.85"/>
    <n v="1484930.43"/>
    <m/>
    <n v="20487.200000000004"/>
  </r>
  <r>
    <x v="2"/>
    <s v="42531"/>
    <s v="DENBO2"/>
    <x v="2"/>
    <s v="Alexander &amp; Syble G. Denbo Greenwood House Fund"/>
    <n v="1334727.97"/>
    <n v="0"/>
    <n v="-116790.97"/>
    <n v="27668.04"/>
    <n v="-11900.31"/>
    <n v="0"/>
    <n v="13444.67"/>
    <n v="-24261.86"/>
    <n v="0"/>
    <n v="13444.67"/>
    <n v="1222887.54"/>
    <m/>
    <n v="16850.849999999999"/>
  </r>
  <r>
    <x v="2"/>
    <s v="42530"/>
    <s v="DENBO1"/>
    <x v="4"/>
    <s v="Alexander Denbo School Fund"/>
    <n v="22614.44"/>
    <n v="0"/>
    <n v="-878"/>
    <n v="502.78"/>
    <n v="-224.96"/>
    <n v="0"/>
    <n v="248.95"/>
    <n v="-418.17"/>
    <n v="0"/>
    <n v="248.95"/>
    <n v="21845.040000000001"/>
    <m/>
    <n v="333.55999999999995"/>
  </r>
  <r>
    <x v="2"/>
    <s v="42529"/>
    <s v="AHAPIF1"/>
    <x v="4"/>
    <s v="AHA Pooled Special Funds"/>
    <n v="2517.59"/>
    <n v="0"/>
    <n v="0"/>
    <n v="56.86"/>
    <n v="0"/>
    <n v="0"/>
    <n v="28.34"/>
    <n v="-49.36"/>
    <n v="0"/>
    <n v="28.34"/>
    <n v="2553.4299999999998"/>
    <m/>
    <n v="35.840000000000003"/>
  </r>
  <r>
    <x v="2"/>
    <s v="42528"/>
    <s v="ZELTT1"/>
    <x v="1"/>
    <s v="Harold &amp; Marilyn Zeltt Charitable Fund"/>
    <n v="24229.89"/>
    <n v="0"/>
    <n v="-10500"/>
    <n v="319.99"/>
    <n v="-173.07"/>
    <n v="0"/>
    <n v="151.41"/>
    <n v="-275.55"/>
    <n v="0"/>
    <n v="151.41"/>
    <n v="13752.67"/>
    <m/>
    <n v="195.85"/>
  </r>
  <r>
    <x v="2"/>
    <s v="42527"/>
    <s v="WISOTS1"/>
    <x v="1"/>
    <s v="Wisotsky Family Philanthropic Fund"/>
    <n v="2747.66"/>
    <n v="0"/>
    <n v="0"/>
    <n v="59.91"/>
    <n v="-150"/>
    <n v="0"/>
    <n v="28.96"/>
    <n v="-53.02"/>
    <n v="0"/>
    <n v="28.96"/>
    <n v="2633.51"/>
    <m/>
    <n v="35.849999999999994"/>
  </r>
  <r>
    <x v="2"/>
    <s v="42525"/>
    <s v="URKEN1"/>
    <x v="1"/>
    <s v="Ernestine and Karl Urken Philanthropic Fund"/>
    <n v="15034.43"/>
    <n v="0"/>
    <n v="-100"/>
    <n v="336.3"/>
    <n v="-150.24"/>
    <n v="0"/>
    <n v="165.71"/>
    <n v="-294.14"/>
    <n v="0"/>
    <n v="165.71"/>
    <n v="14992.06"/>
    <m/>
    <n v="207.87000000000003"/>
  </r>
  <r>
    <x v="2"/>
    <s v="42524"/>
    <s v="SUCHAR1"/>
    <x v="1"/>
    <s v="Sucharow Family Charitable Fund"/>
    <n v="740366.17"/>
    <n v="241000.68"/>
    <n v="-437000"/>
    <n v="10970.33"/>
    <n v="-5975.72"/>
    <n v="0"/>
    <n v="7189.51"/>
    <n v="-18517.189999999999"/>
    <n v="0"/>
    <n v="7189.51"/>
    <n v="538033.78"/>
    <m/>
    <n v="-357.34999999999854"/>
  </r>
  <r>
    <x v="2"/>
    <s v="42523"/>
    <s v="STIX1"/>
    <x v="1"/>
    <s v="Stix Charitable Fund"/>
    <n v="199749.62"/>
    <n v="0"/>
    <n v="0"/>
    <n v="4481.66"/>
    <n v="-1987.02"/>
    <n v="0"/>
    <n v="2222.2199999999998"/>
    <n v="-3904.92"/>
    <n v="0"/>
    <n v="2222.2199999999998"/>
    <n v="200561.56"/>
    <m/>
    <n v="2798.9599999999996"/>
  </r>
  <r>
    <x v="2"/>
    <s v="42522"/>
    <s v="SMUKLE3"/>
    <x v="1"/>
    <s v="Smukler Fund"/>
    <n v="991882.95"/>
    <n v="0"/>
    <n v="-35000"/>
    <n v="22079.09"/>
    <n v="-9866.5300000000007"/>
    <n v="0"/>
    <n v="10930.24"/>
    <n v="-18185.080000000002"/>
    <n v="0"/>
    <n v="10930.24"/>
    <n v="961840.67"/>
    <m/>
    <n v="14824.249999999998"/>
  </r>
  <r>
    <x v="2"/>
    <s v="42520"/>
    <s v="SHECHT5"/>
    <x v="1"/>
    <s v="Shechtel Children's Fund"/>
    <n v="7214.02"/>
    <n v="0"/>
    <n v="0"/>
    <n v="160.76"/>
    <n v="-150"/>
    <n v="0"/>
    <n v="79.209999999999994"/>
    <n v="-140.56"/>
    <n v="0"/>
    <n v="79.209999999999994"/>
    <n v="7163.43"/>
    <m/>
    <n v="99.409999999999982"/>
  </r>
  <r>
    <x v="2"/>
    <s v="42519"/>
    <s v="SCHWAR33"/>
    <x v="1"/>
    <s v="Judith &amp; Martin Schwartz Family Charitable Trust"/>
    <n v="112457.1"/>
    <n v="19807.900000000001"/>
    <n v="-26525"/>
    <n v="2456.7800000000002"/>
    <n v="-1075.23"/>
    <n v="0"/>
    <n v="1177.8499999999999"/>
    <n v="-2381.12"/>
    <n v="0"/>
    <n v="1177.8499999999999"/>
    <n v="105918.28"/>
    <m/>
    <n v="1253.5100000000002"/>
  </r>
  <r>
    <x v="2"/>
    <s v="42518"/>
    <s v="SCHNUR3"/>
    <x v="1"/>
    <s v="Schnur Family Philanthropic Fund"/>
    <n v="145113.14000000001"/>
    <n v="0"/>
    <n v="-14000"/>
    <n v="3062.92"/>
    <n v="-1383.28"/>
    <n v="0"/>
    <n v="1446.5"/>
    <n v="-2623.79"/>
    <n v="0"/>
    <n v="1446.5"/>
    <n v="131615.49"/>
    <m/>
    <n v="1885.63"/>
  </r>
  <r>
    <x v="2"/>
    <s v="42516"/>
    <s v="SHAKUN1"/>
    <x v="1"/>
    <s v="Shakun &amp; Devery Family Fund"/>
    <n v="16046.6"/>
    <n v="6000"/>
    <n v="-12250"/>
    <n v="345.79"/>
    <n v="-182.9"/>
    <n v="0"/>
    <n v="118.57"/>
    <n v="-11.76"/>
    <n v="0"/>
    <n v="118.57"/>
    <n v="10066.299999999999"/>
    <m/>
    <n v="452.6"/>
  </r>
  <r>
    <x v="2"/>
    <s v="42515"/>
    <s v="SCHAEF7"/>
    <x v="1"/>
    <s v="Schaefer Family Philanthropic Fund"/>
    <n v="80115.789999999994"/>
    <n v="0"/>
    <n v="-16500"/>
    <n v="1553.58"/>
    <n v="-725.32"/>
    <n v="0"/>
    <n v="742.17"/>
    <n v="-1285.4000000000001"/>
    <n v="0"/>
    <n v="742.17"/>
    <n v="63900.82"/>
    <m/>
    <n v="1010.3499999999998"/>
  </r>
  <r>
    <x v="2"/>
    <s v="42514"/>
    <s v="KOHN6"/>
    <x v="2"/>
    <s v="RMK PACE Fund"/>
    <n v="104738.8"/>
    <n v="0"/>
    <n v="-4940"/>
    <n v="2239.8200000000002"/>
    <n v="-1005.01"/>
    <n v="0"/>
    <n v="1109.67"/>
    <n v="-1952.8"/>
    <n v="0"/>
    <n v="1109.67"/>
    <n v="100190.48"/>
    <m/>
    <n v="1396.6900000000003"/>
  </r>
  <r>
    <x v="2"/>
    <s v="42513"/>
    <s v="PIMLEY1"/>
    <x v="1"/>
    <s v="Oliver Jenson Pimley Tzedakah Fund"/>
    <n v="8407.82"/>
    <n v="0"/>
    <n v="0"/>
    <n v="187.7"/>
    <n v="-150"/>
    <n v="0"/>
    <n v="92.66"/>
    <n v="-164.03"/>
    <n v="0"/>
    <n v="92.66"/>
    <n v="8374.15"/>
    <m/>
    <n v="116.32999999999998"/>
  </r>
  <r>
    <x v="2"/>
    <s v="42512"/>
    <s v="PERLMA8"/>
    <x v="1"/>
    <s v="Bonnie and Richard Perlman Philanthropic Fund"/>
    <n v="18515.830000000002"/>
    <n v="0"/>
    <n v="-6850"/>
    <n v="358.3"/>
    <n v="-173.72"/>
    <n v="0"/>
    <n v="168.92"/>
    <n v="-630.66999999999996"/>
    <n v="0"/>
    <n v="168.92"/>
    <n v="11388.66"/>
    <m/>
    <n v="-103.44999999999996"/>
  </r>
  <r>
    <x v="2"/>
    <s v="42511"/>
    <s v="PERLMA7"/>
    <x v="1"/>
    <s v="B. Perlman Family Charitable Fund"/>
    <n v="13234.91"/>
    <n v="0"/>
    <n v="-6100"/>
    <n v="220.68"/>
    <n v="-150"/>
    <n v="0"/>
    <n v="63.67"/>
    <n v="-67.13"/>
    <n v="0"/>
    <n v="63.67"/>
    <n v="7202.13"/>
    <m/>
    <n v="217.22000000000003"/>
  </r>
  <r>
    <x v="2"/>
    <s v="42510"/>
    <s v="NEUMAN3"/>
    <x v="1"/>
    <s v="Jerry Neumann &amp; Naomi Richman Philanthropic Fund"/>
    <n v="48362.14"/>
    <n v="29134.66"/>
    <n v="-5100"/>
    <n v="1308.53"/>
    <n v="-605.42999999999995"/>
    <n v="0"/>
    <n v="934.55"/>
    <n v="-484.96"/>
    <n v="0"/>
    <n v="934.55"/>
    <n v="73549.490000000005"/>
    <m/>
    <n v="1758.12"/>
  </r>
  <r>
    <x v="2"/>
    <s v="42509"/>
    <s v="MILLER147"/>
    <x v="1"/>
    <s v="Sue Ellen and David H. Miller Family Charitable Fund"/>
    <n v="14549.27"/>
    <n v="0"/>
    <n v="0"/>
    <n v="326.38"/>
    <n v="-150"/>
    <n v="0"/>
    <n v="161.79"/>
    <n v="-284.39999999999998"/>
    <n v="0"/>
    <n v="161.79"/>
    <n v="14603.04"/>
    <m/>
    <n v="203.77"/>
  </r>
  <r>
    <x v="2"/>
    <s v="42508"/>
    <s v="KLATZK1"/>
    <x v="1"/>
    <s v="Clive and Audrey Klatzkin Family Philanthropic Fund"/>
    <n v="61116.22"/>
    <n v="0"/>
    <n v="-3000"/>
    <n v="1347.5"/>
    <n v="-602.97"/>
    <n v="0"/>
    <n v="637.47"/>
    <n v="-1000.59"/>
    <n v="0"/>
    <n v="637.47"/>
    <n v="58497.63"/>
    <m/>
    <n v="984.38"/>
  </r>
  <r>
    <x v="2"/>
    <s v="42507"/>
    <s v="KALISH2"/>
    <x v="1"/>
    <s v="Peggy and Errol Kalish Philanthropic Fund"/>
    <n v="73631.42"/>
    <n v="0"/>
    <n v="0"/>
    <n v="1652"/>
    <n v="-732.46"/>
    <n v="0"/>
    <n v="819.16"/>
    <n v="-1439.37"/>
    <n v="0"/>
    <n v="819.16"/>
    <n v="73930.75"/>
    <m/>
    <n v="1031.79"/>
  </r>
  <r>
    <x v="2"/>
    <s v="42506"/>
    <s v="KAHN6"/>
    <x v="1"/>
    <s v="Kahn Family Philanthropic Fund"/>
    <n v="9876.67"/>
    <n v="0"/>
    <n v="-500"/>
    <n v="218.52"/>
    <n v="-150"/>
    <n v="0"/>
    <n v="107.7"/>
    <n v="-176.27"/>
    <n v="0"/>
    <n v="107.7"/>
    <n v="9376.6200000000008"/>
    <m/>
    <n v="149.94999999999999"/>
  </r>
  <r>
    <x v="2"/>
    <s v="42505"/>
    <s v="HARRIS51"/>
    <x v="1"/>
    <s v="Sara Jane and Morris Harris Philanthropic Fund"/>
    <n v="92074.76"/>
    <n v="0"/>
    <n v="0"/>
    <n v="2065.7800000000002"/>
    <n v="-915.92"/>
    <n v="0"/>
    <n v="1024.3399999999999"/>
    <n v="-1799.96"/>
    <n v="0"/>
    <n v="1024.3399999999999"/>
    <n v="92449"/>
    <m/>
    <n v="1290.1600000000001"/>
  </r>
  <r>
    <x v="2"/>
    <s v="42504"/>
    <s v="GOODMA11"/>
    <x v="1"/>
    <s v="Goodman Family Philanthropic Fund"/>
    <n v="34024.79"/>
    <n v="0"/>
    <n v="0"/>
    <n v="763.42"/>
    <n v="-338.46"/>
    <n v="0"/>
    <n v="378.53"/>
    <n v="-665.18"/>
    <n v="0"/>
    <n v="378.53"/>
    <n v="34163.1"/>
    <m/>
    <n v="476.77"/>
  </r>
  <r>
    <x v="2"/>
    <s v="42503"/>
    <s v="GOLDMA21"/>
    <x v="1"/>
    <s v="Debby and Peter Goldman Fund"/>
    <n v="171809.25"/>
    <n v="0"/>
    <n v="0"/>
    <n v="3854.76"/>
    <n v="-1709.08"/>
    <n v="0"/>
    <n v="1911.38"/>
    <n v="-3358.76"/>
    <n v="0"/>
    <n v="1911.38"/>
    <n v="172507.55"/>
    <m/>
    <n v="2407.38"/>
  </r>
  <r>
    <x v="2"/>
    <s v="42502"/>
    <s v="GLAZER1"/>
    <x v="1"/>
    <s v="Richard M. Glazer Philanthropic Fund"/>
    <n v="23758.57"/>
    <n v="0"/>
    <n v="-1424"/>
    <n v="511.98"/>
    <n v="-230.83"/>
    <n v="0"/>
    <n v="250.95"/>
    <n v="-441.64"/>
    <n v="0"/>
    <n v="250.95"/>
    <n v="22425.03"/>
    <m/>
    <n v="321.29000000000002"/>
  </r>
  <r>
    <x v="2"/>
    <s v="42499"/>
    <s v="FELDMA13"/>
    <x v="1"/>
    <s v="Talia Feldman Fund for Tzedakah"/>
    <n v="18487.14"/>
    <n v="0"/>
    <n v="-4400"/>
    <n v="357.78"/>
    <n v="-171.17"/>
    <n v="0"/>
    <n v="149.66999999999999"/>
    <n v="-274.10000000000002"/>
    <n v="0"/>
    <n v="149.66999999999999"/>
    <n v="14149.32"/>
    <m/>
    <n v="233.34999999999994"/>
  </r>
  <r>
    <x v="2"/>
    <s v="42498"/>
    <s v="FANNIN3"/>
    <x v="1"/>
    <s v="Lillian and Arthur Fanning Memorial Fund"/>
    <n v="64175.67"/>
    <n v="0"/>
    <n v="-3600"/>
    <n v="1404.59"/>
    <n v="-629.35"/>
    <n v="0"/>
    <n v="660.61"/>
    <n v="-1177.77"/>
    <n v="0"/>
    <n v="660.61"/>
    <n v="60833.75"/>
    <m/>
    <n v="887.43"/>
  </r>
  <r>
    <x v="2"/>
    <s v="42497"/>
    <s v="FAMILA1"/>
    <x v="1"/>
    <s v="Rosalind &quot;Mimi&quot; and Aaron &quot;Poppy&quot; Familant Fund"/>
    <n v="18406.099999999999"/>
    <n v="0"/>
    <n v="-1000"/>
    <n v="390.38"/>
    <n v="-175.47"/>
    <n v="0"/>
    <n v="193.28"/>
    <n v="-361.72"/>
    <n v="0"/>
    <n v="193.28"/>
    <n v="17452.57"/>
    <m/>
    <n v="221.93999999999997"/>
  </r>
  <r>
    <x v="2"/>
    <s v="42496"/>
    <s v="ENTIN1"/>
    <x v="1"/>
    <s v="Sadie and Leon Entin Memorial Fund"/>
    <n v="11836.85"/>
    <n v="0"/>
    <n v="-1500"/>
    <n v="235.16"/>
    <n v="-150"/>
    <n v="0"/>
    <n v="114.13"/>
    <n v="-218.52"/>
    <n v="0"/>
    <n v="114.13"/>
    <n v="10317.620000000001"/>
    <m/>
    <n v="130.76999999999998"/>
  </r>
  <r>
    <x v="2"/>
    <s v="42495"/>
    <s v="EGGER2"/>
    <x v="1"/>
    <s v="Audrey and David Egger Charitable Fund"/>
    <n v="46332.47"/>
    <n v="0"/>
    <n v="-22000"/>
    <n v="676.27"/>
    <n v="-349.01"/>
    <n v="0"/>
    <n v="214.36"/>
    <n v="-799.48"/>
    <n v="0"/>
    <n v="214.36"/>
    <n v="24074.61"/>
    <m/>
    <n v="91.149999999999977"/>
  </r>
  <r>
    <x v="2"/>
    <s v="42494"/>
    <s v="COHEN57"/>
    <x v="1"/>
    <s v="Janet and Howard Cohen Philanthropic Fund"/>
    <n v="48815.86"/>
    <n v="0"/>
    <n v="-1750"/>
    <n v="1069.23"/>
    <n v="-478.13"/>
    <n v="0"/>
    <n v="529.6"/>
    <n v="-909.24"/>
    <n v="0"/>
    <n v="529.6"/>
    <n v="47277.32"/>
    <m/>
    <n v="689.59"/>
  </r>
  <r>
    <x v="2"/>
    <s v="42493"/>
    <s v="BURNS15"/>
    <x v="1"/>
    <s v="Joseph Burns Fund"/>
    <n v="7804.35"/>
    <n v="2500"/>
    <n v="0"/>
    <n v="199.76"/>
    <n v="-150"/>
    <n v="0"/>
    <n v="123.15"/>
    <n v="-198.25"/>
    <n v="0"/>
    <n v="123.15"/>
    <n v="10279.01"/>
    <m/>
    <n v="124.66"/>
  </r>
  <r>
    <x v="2"/>
    <s v="42492"/>
    <s v="BERMAN14"/>
    <x v="1"/>
    <s v="Ronald and Marie Berman Philanthropic Fund"/>
    <n v="33950.550000000003"/>
    <n v="0"/>
    <n v="-14500"/>
    <n v="498.34"/>
    <n v="-262.83"/>
    <n v="0"/>
    <n v="209.85"/>
    <n v="-833.06"/>
    <n v="0"/>
    <n v="209.85"/>
    <n v="19062.849999999999"/>
    <m/>
    <n v="-124.86999999999998"/>
  </r>
  <r>
    <x v="2"/>
    <s v="42491"/>
    <s v="BERGER10"/>
    <x v="1"/>
    <s v="Samuel S. and Regina Berger Charitable Fund"/>
    <n v="41549.19"/>
    <n v="0"/>
    <n v="0"/>
    <n v="932.21"/>
    <n v="-413.31"/>
    <n v="0"/>
    <n v="462.22"/>
    <n v="-812.22"/>
    <n v="0"/>
    <n v="462.22"/>
    <n v="41718.089999999997"/>
    <m/>
    <n v="582.21"/>
  </r>
  <r>
    <x v="2"/>
    <s v="42490"/>
    <s v="AXELRO4"/>
    <x v="1"/>
    <s v="Axelrod Family Fund"/>
    <n v="82521.009999999995"/>
    <n v="0"/>
    <n v="-7000"/>
    <n v="1780.21"/>
    <n v="-805.68"/>
    <n v="0"/>
    <n v="880.13"/>
    <n v="-1473.29"/>
    <n v="0"/>
    <n v="880.13"/>
    <n v="75902.38"/>
    <m/>
    <n v="1187.0500000000002"/>
  </r>
  <r>
    <x v="2"/>
    <s v="42489"/>
    <s v="APPLES1"/>
    <x v="1"/>
    <s v="Louis Applestein Memorial Fund"/>
    <n v="25130.54"/>
    <n v="0"/>
    <n v="0"/>
    <n v="563.84"/>
    <n v="-249.99"/>
    <n v="0"/>
    <n v="279.57"/>
    <n v="-491.3"/>
    <n v="0"/>
    <n v="279.57"/>
    <n v="25232.66"/>
    <m/>
    <n v="352.11"/>
  </r>
  <r>
    <x v="2"/>
    <s v="42488"/>
    <s v="ANSHEN1"/>
    <x v="1"/>
    <s v="Rose Perlman Anshen and Harold Anshen Memorial Fund"/>
    <n v="30356.37"/>
    <n v="0"/>
    <n v="-500"/>
    <n v="669.84"/>
    <n v="-298.25"/>
    <n v="0"/>
    <n v="332.17"/>
    <n v="-581.23"/>
    <n v="0"/>
    <n v="332.17"/>
    <n v="29978.9"/>
    <m/>
    <n v="420.78000000000003"/>
  </r>
  <r>
    <x v="2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3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3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3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3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3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3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3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3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3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3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3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3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3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3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3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3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3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3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3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3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3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3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3"/>
    <s v="65162"/>
    <s v="WINKLE17"/>
    <x v="2"/>
    <s v="Cecelia Ruth Winkler M.A.H. &amp; Paul Barry Winkler Ed. D. Endowment - Cafe Europa Fund"/>
    <n v="0"/>
    <n v="6000"/>
    <n v="0"/>
    <n v="4.28"/>
    <n v="0"/>
    <n v="0"/>
    <n v="0"/>
    <n v="224.83"/>
    <n v="0"/>
    <n v="0"/>
    <n v="6229.11"/>
    <m/>
    <n v="229.11"/>
  </r>
  <r>
    <x v="3"/>
    <s v="64981"/>
    <s v="EMES1"/>
    <x v="0"/>
    <s v="Congregation Toras Emes Life &amp; Legacy Endowment Fund"/>
    <n v="0"/>
    <n v="6000"/>
    <n v="0"/>
    <n v="29.15"/>
    <n v="0"/>
    <n v="0"/>
    <n v="0"/>
    <n v="-29.72"/>
    <n v="0"/>
    <n v="0"/>
    <n v="5999.43"/>
    <m/>
    <n v="-0.57000000000000028"/>
  </r>
  <r>
    <x v="3"/>
    <s v="62677"/>
    <s v="BORKAN1"/>
    <x v="1"/>
    <s v="The Harold Borkan Fund"/>
    <n v="0"/>
    <n v="15520.32"/>
    <n v="0"/>
    <n v="93.24"/>
    <n v="0"/>
    <n v="0"/>
    <n v="0"/>
    <n v="262.47000000000003"/>
    <n v="0"/>
    <n v="0"/>
    <n v="15876.03"/>
    <m/>
    <n v="355.71000000000004"/>
  </r>
  <r>
    <x v="3"/>
    <s v="62661"/>
    <s v="HANAHA2"/>
    <x v="0"/>
    <s v="Kehilat HaNahar LIFE &amp; LEGACY Endowment Fund"/>
    <n v="0"/>
    <n v="6000"/>
    <n v="0"/>
    <n v="35.840000000000003"/>
    <n v="0"/>
    <n v="0"/>
    <n v="0"/>
    <n v="64.87"/>
    <n v="0"/>
    <n v="0"/>
    <n v="6100.71"/>
    <m/>
    <n v="100.71000000000001"/>
  </r>
  <r>
    <x v="3"/>
    <s v="60352"/>
    <s v="TJCCA1"/>
    <x v="2"/>
    <s v="TJCCA Designated Fund"/>
    <n v="0"/>
    <n v="281876.12"/>
    <n v="0"/>
    <n v="909.1"/>
    <n v="0"/>
    <m/>
    <n v="0"/>
    <n v="1832.95"/>
    <n v="0"/>
    <n v="0"/>
    <n v="284618.17"/>
    <m/>
    <n v="2742.05"/>
  </r>
  <r>
    <x v="3"/>
    <s v="56537"/>
    <s v="UJFPMB6"/>
    <x v="0"/>
    <s v="JFPMB LIFE &amp; LEGACY Endowment Fund"/>
    <n v="0"/>
    <n v="6000"/>
    <n v="0"/>
    <n v="54.29"/>
    <n v="-37.5"/>
    <n v="0"/>
    <n v="-7.9"/>
    <n v="148.91999999999999"/>
    <n v="0"/>
    <n v="-7.9"/>
    <n v="6157.81"/>
    <m/>
    <n v="195.30999999999997"/>
  </r>
  <r>
    <x v="3"/>
    <s v="56365"/>
    <s v="FREEMA39"/>
    <x v="1"/>
    <s v="Herbert and Joan Freeman Fund"/>
    <n v="0"/>
    <n v="23363.759999999998"/>
    <n v="-4340"/>
    <n v="108.25"/>
    <n v="-37.5"/>
    <n v="0"/>
    <n v="-16.2"/>
    <n v="476.3"/>
    <n v="0"/>
    <n v="-16.2"/>
    <n v="19554.61"/>
    <m/>
    <n v="568.34999999999991"/>
  </r>
  <r>
    <x v="3"/>
    <s v="56131"/>
    <s v="VILKO1"/>
    <x v="1"/>
    <s v="Vilko Fund"/>
    <n v="0"/>
    <n v="56349.43"/>
    <n v="-31200"/>
    <n v="248.38"/>
    <n v="-37.5"/>
    <n v="0"/>
    <n v="-11.12"/>
    <n v="735.02"/>
    <n v="0"/>
    <n v="-11.12"/>
    <n v="26084.21"/>
    <m/>
    <n v="972.28"/>
  </r>
  <r>
    <x v="3"/>
    <s v="56088"/>
    <s v="HEBREW4"/>
    <x v="0"/>
    <s v="Hebrew Free Loan Program Fund"/>
    <n v="0"/>
    <n v="10000"/>
    <n v="0"/>
    <n v="108.34"/>
    <n v="-37.5"/>
    <n v="0"/>
    <n v="-16.59"/>
    <n v="756.61"/>
    <n v="0"/>
    <n v="-16.59"/>
    <n v="10810.86"/>
    <m/>
    <n v="848.36"/>
  </r>
  <r>
    <x v="3"/>
    <s v="56037"/>
    <s v="MEISEL4"/>
    <x v="1"/>
    <s v="The Andrew, Louisa, &amp; Owen Meisel Tzedakah"/>
    <n v="0"/>
    <n v="7000"/>
    <n v="0"/>
    <n v="72.39"/>
    <n v="-75"/>
    <n v="0"/>
    <n v="-11.1"/>
    <n v="233.07"/>
    <n v="0"/>
    <n v="-11.1"/>
    <n v="7219.36"/>
    <m/>
    <n v="294.35999999999996"/>
  </r>
  <r>
    <x v="3"/>
    <s v="55648"/>
    <s v="BLICK1"/>
    <x v="1"/>
    <s v="Art &amp; Lauren Blick Donor Advised Fund"/>
    <n v="0"/>
    <n v="10000"/>
    <n v="-6944.57"/>
    <n v="104.57"/>
    <n v="-75"/>
    <n v="0"/>
    <n v="38.72"/>
    <n v="-119.97"/>
    <n v="0"/>
    <n v="38.72"/>
    <n v="3003.75"/>
    <m/>
    <n v="23.319999999999993"/>
  </r>
  <r>
    <x v="3"/>
    <s v="55401"/>
    <s v="KATZ110"/>
    <x v="1"/>
    <s v="Katz / Kurinsky Philanthropic Fund"/>
    <n v="0"/>
    <n v="8329.1"/>
    <n v="-3380"/>
    <n v="93.54"/>
    <n v="-75"/>
    <n v="0"/>
    <n v="-18.75"/>
    <n v="-118.48"/>
    <n v="0"/>
    <n v="-18.75"/>
    <n v="4830.41"/>
    <m/>
    <n v="-43.69"/>
  </r>
  <r>
    <x v="3"/>
    <s v="55245"/>
    <s v="GORDON47"/>
    <x v="1"/>
    <s v="Gordon Community Fund"/>
    <n v="0"/>
    <n v="10000"/>
    <n v="0"/>
    <n v="159.06"/>
    <n v="-75"/>
    <n v="0"/>
    <n v="-20.89"/>
    <n v="-49.39"/>
    <n v="0"/>
    <n v="-20.89"/>
    <n v="10013.780000000001"/>
    <m/>
    <n v="88.78"/>
  </r>
  <r>
    <x v="3"/>
    <s v="55070"/>
    <s v="KRAKAU1"/>
    <x v="1"/>
    <s v="Krakauer Fund"/>
    <n v="0"/>
    <n v="100611.15"/>
    <n v="-21250"/>
    <n v="1344.76"/>
    <n v="-421.12"/>
    <n v="0"/>
    <n v="-194.01"/>
    <n v="-1202.6600000000001"/>
    <n v="0"/>
    <n v="-194.01"/>
    <n v="78888.12"/>
    <m/>
    <n v="-51.910000000000082"/>
  </r>
  <r>
    <x v="3"/>
    <s v="49564"/>
    <s v="JFCS3"/>
    <x v="0"/>
    <s v="JFCS of Greater Mercer County First LIFE &amp; LEGACY Endowment Fund"/>
    <n v="5987.46"/>
    <n v="0"/>
    <n v="0"/>
    <n v="125.82"/>
    <n v="-57.35"/>
    <n v="0"/>
    <n v="-3.64"/>
    <n v="-216.51"/>
    <n v="0"/>
    <n v="-3.64"/>
    <n v="5835.78"/>
    <m/>
    <n v="-94.33"/>
  </r>
  <r>
    <x v="3"/>
    <s v="49536"/>
    <s v="CHADAS1"/>
    <x v="0"/>
    <s v="Or Chadash LIFE &amp; LEGACY Endowment Fund"/>
    <n v="5960.07"/>
    <n v="5720"/>
    <n v="0"/>
    <n v="159.58000000000001"/>
    <n v="-57.09"/>
    <n v="0"/>
    <n v="-3.64"/>
    <n v="-122.97"/>
    <n v="0"/>
    <n v="-3.64"/>
    <n v="11655.95"/>
    <m/>
    <n v="32.970000000000013"/>
  </r>
  <r>
    <x v="3"/>
    <s v="49525"/>
    <s v="BETHCH1"/>
    <x v="0"/>
    <s v="Beth Chaim LIFE &amp; LEGACY Endowment Fund"/>
    <n v="5944.21"/>
    <n v="0"/>
    <n v="0"/>
    <n v="124.93"/>
    <n v="-56.93"/>
    <n v="0"/>
    <n v="-3.62"/>
    <n v="-214.96"/>
    <n v="0"/>
    <n v="-3.62"/>
    <n v="5793.63"/>
    <m/>
    <n v="-93.65"/>
  </r>
  <r>
    <x v="3"/>
    <s v="49524"/>
    <s v="ADATH1"/>
    <x v="0"/>
    <s v="Adath Israel LIFE &amp; LEGACY Endowment Fund"/>
    <n v="5937.78"/>
    <n v="0"/>
    <n v="0"/>
    <n v="124.75"/>
    <n v="-56.87"/>
    <n v="0"/>
    <n v="-3.64"/>
    <n v="-214.74"/>
    <n v="0"/>
    <n v="-3.64"/>
    <n v="5787.28"/>
    <m/>
    <n v="-93.63000000000001"/>
  </r>
  <r>
    <x v="3"/>
    <s v="49304"/>
    <s v="JEWISH28"/>
    <x v="0"/>
    <s v="Jewish Center of Princeton Endowment Fund"/>
    <n v="14524.28"/>
    <n v="56160"/>
    <n v="0"/>
    <n v="1062.69"/>
    <n v="-344.61"/>
    <n v="0"/>
    <n v="-26.65"/>
    <n v="-1400.87"/>
    <n v="0"/>
    <n v="-26.65"/>
    <n v="69974.84"/>
    <m/>
    <n v="-364.82999999999981"/>
  </r>
  <r>
    <x v="3"/>
    <s v="49253"/>
    <s v="DAVIDS14"/>
    <x v="1"/>
    <s v="The DADA Fund"/>
    <n v="16082.37"/>
    <n v="0"/>
    <n v="-1200"/>
    <n v="322.01"/>
    <n v="-152.71"/>
    <n v="0"/>
    <n v="-8.49"/>
    <n v="-590.91"/>
    <n v="0"/>
    <n v="-8.49"/>
    <n v="14452.27"/>
    <m/>
    <n v="-277.39"/>
  </r>
  <r>
    <x v="3"/>
    <s v="49131"/>
    <s v="MICHAE8"/>
    <x v="1"/>
    <s v="Manning &amp; Hoffman-Manning Charitable Fund"/>
    <n v="6145.95"/>
    <n v="0"/>
    <n v="0"/>
    <n v="127.92"/>
    <n v="-150"/>
    <n v="0"/>
    <n v="-3.65"/>
    <n v="-222.82"/>
    <n v="0"/>
    <n v="-3.65"/>
    <n v="5897.4"/>
    <m/>
    <n v="-98.55"/>
  </r>
  <r>
    <x v="3"/>
    <s v="48855"/>
    <s v="MEISEL2"/>
    <x v="1"/>
    <s v="Zachary, Ava &amp; Stella Kovner Meisel Tzedkah Fund"/>
    <n v="6768.89"/>
    <n v="0"/>
    <n v="0"/>
    <n v="141.05000000000001"/>
    <n v="-150"/>
    <n v="0"/>
    <n v="-4.05"/>
    <n v="-245.37"/>
    <n v="0"/>
    <n v="-4.05"/>
    <n v="6510.52"/>
    <m/>
    <n v="-108.36999999999999"/>
  </r>
  <r>
    <x v="3"/>
    <s v="48533"/>
    <s v="SNOW3"/>
    <x v="1"/>
    <s v="Nagelberg Philanthropic Fund"/>
    <n v="3301.69"/>
    <n v="5000"/>
    <n v="0"/>
    <n v="147.36000000000001"/>
    <n v="-150"/>
    <n v="0"/>
    <n v="15.34"/>
    <n v="-53.73"/>
    <n v="0"/>
    <n v="15.34"/>
    <n v="8260.66"/>
    <m/>
    <n v="108.97000000000003"/>
  </r>
  <r>
    <x v="3"/>
    <s v="48355"/>
    <s v="FREEMA17"/>
    <x v="1"/>
    <s v="Marsha &amp; Eliot Freeman Family Fund"/>
    <n v="50431.99"/>
    <n v="0"/>
    <n v="0"/>
    <n v="1059.75"/>
    <n v="-483.05"/>
    <n v="0"/>
    <n v="-30.85"/>
    <n v="-1823.79"/>
    <n v="0"/>
    <n v="-30.85"/>
    <n v="49154.05"/>
    <m/>
    <n v="-794.89"/>
  </r>
  <r>
    <x v="3"/>
    <s v="48196"/>
    <s v="JEWISH27"/>
    <x v="3"/>
    <s v="Jewish Community Foundation of Greater Mercer LIFE &amp; LEGACY Endowment Fund"/>
    <n v="6073.11"/>
    <n v="20930.599999999999"/>
    <n v="0"/>
    <n v="249.1"/>
    <n v="-59.4"/>
    <n v="0"/>
    <n v="-4.3099999999999996"/>
    <n v="-349.8"/>
    <n v="0"/>
    <n v="-4.3099999999999996"/>
    <n v="26839.3"/>
    <m/>
    <n v="-105.01000000000002"/>
  </r>
  <r>
    <x v="3"/>
    <s v="47872"/>
    <s v="WALDOR1"/>
    <x v="1"/>
    <s v="Berman-Waldorf Family Fund"/>
    <n v="2897.17"/>
    <n v="0"/>
    <n v="-500"/>
    <n v="51.33"/>
    <n v="-150"/>
    <n v="0"/>
    <n v="-1.05"/>
    <n v="-118.4"/>
    <n v="0"/>
    <n v="-1.05"/>
    <n v="2179.0500000000002"/>
    <m/>
    <n v="-68.12"/>
  </r>
  <r>
    <x v="3"/>
    <s v="47724"/>
    <s v="SNOW2"/>
    <x v="1"/>
    <s v="Snow - Nagelberg Philanthropic Fund"/>
    <n v="6486.11"/>
    <n v="0"/>
    <n v="0"/>
    <n v="135.08000000000001"/>
    <n v="-150"/>
    <n v="0"/>
    <n v="-3.86"/>
    <n v="-235.22"/>
    <n v="0"/>
    <n v="-3.86"/>
    <n v="6232.11"/>
    <m/>
    <n v="-103.99999999999999"/>
  </r>
  <r>
    <x v="3"/>
    <s v="47350"/>
    <s v="FELDMA18"/>
    <x v="1"/>
    <s v="Dena Feldman Fund for Tzedakah"/>
    <n v="20664.93"/>
    <n v="0"/>
    <n v="-960"/>
    <n v="425.27"/>
    <n v="-195.95"/>
    <n v="0"/>
    <n v="-11.41"/>
    <n v="-791.45"/>
    <n v="0"/>
    <n v="-11.41"/>
    <n v="19131.39"/>
    <m/>
    <n v="-377.59000000000009"/>
  </r>
  <r>
    <x v="3"/>
    <s v="47349"/>
    <s v="FRAM1"/>
    <x v="1"/>
    <s v="Harvey &amp; Carine Fram Charitable Gift Fund"/>
    <n v="17118.11"/>
    <n v="0"/>
    <n v="0"/>
    <n v="359.71"/>
    <n v="-163.96"/>
    <n v="0"/>
    <n v="-10.47"/>
    <n v="-619.03"/>
    <n v="0"/>
    <n v="-10.47"/>
    <n v="16684.36"/>
    <m/>
    <n v="-269.79000000000002"/>
  </r>
  <r>
    <x v="3"/>
    <s v="46976"/>
    <s v="DAVIDS12"/>
    <x v="1"/>
    <s v="Davidson Philanthropic Fund"/>
    <n v="19400.73"/>
    <n v="848"/>
    <n v="-600"/>
    <n v="403.8"/>
    <n v="-183.12"/>
    <n v="0"/>
    <n v="-10.86"/>
    <n v="-699.61"/>
    <n v="0"/>
    <n v="-10.86"/>
    <n v="19158.939999999999"/>
    <m/>
    <n v="-306.67"/>
  </r>
  <r>
    <x v="3"/>
    <s v="46842"/>
    <s v="FELDST4"/>
    <x v="1"/>
    <s v="Lori and Michael Feldstein Fund"/>
    <n v="44598.05"/>
    <n v="47877.72"/>
    <n v="-41733"/>
    <n v="808.12"/>
    <n v="-487.26"/>
    <n v="0"/>
    <n v="37.590000000000003"/>
    <n v="-2419.1799999999998"/>
    <n v="0"/>
    <n v="37.590000000000003"/>
    <n v="48682.04"/>
    <m/>
    <n v="-1573.47"/>
  </r>
  <r>
    <x v="3"/>
    <s v="46751"/>
    <s v="SHAKUN2"/>
    <x v="2"/>
    <s v="Beth El's Future"/>
    <n v="105477.8"/>
    <n v="7500"/>
    <n v="-4184"/>
    <n v="2211.36"/>
    <n v="-1017.94"/>
    <n v="0"/>
    <n v="-40.68"/>
    <n v="-3580.53"/>
    <n v="0"/>
    <n v="-40.68"/>
    <n v="106366.01"/>
    <m/>
    <n v="-1409.8500000000001"/>
  </r>
  <r>
    <x v="3"/>
    <s v="46630"/>
    <s v="KOHN7"/>
    <x v="0"/>
    <s v="The Richard M. Kohn Endowment Fund"/>
    <n v="474390.29"/>
    <n v="257339.42"/>
    <n v="-23524"/>
    <n v="12148.64"/>
    <n v="-5673.59"/>
    <n v="0"/>
    <n v="-684.91"/>
    <n v="-7834.42"/>
    <n v="0"/>
    <n v="-684.91"/>
    <n v="706161.43"/>
    <m/>
    <n v="3629.3099999999995"/>
  </r>
  <r>
    <x v="3"/>
    <s v="45234"/>
    <s v="LEIBOW1"/>
    <x v="1"/>
    <s v="Donald S. Leibowitz and Karen Brodsky Philanthropic Fund"/>
    <n v="71957.81"/>
    <n v="28201.13"/>
    <n v="-19812"/>
    <n v="1467.83"/>
    <n v="-675.61"/>
    <n v="0"/>
    <n v="-81.58"/>
    <n v="-1339.83"/>
    <n v="0"/>
    <n v="-81.58"/>
    <n v="79717.75"/>
    <m/>
    <n v="46.42"/>
  </r>
  <r>
    <x v="3"/>
    <s v="44365"/>
    <s v="DIAMON3"/>
    <x v="1"/>
    <s v="Rabbi James S. Diamond Memorial Fund"/>
    <n v="14014.38"/>
    <n v="1200"/>
    <n v="0"/>
    <n v="308.63"/>
    <n v="-150"/>
    <n v="0"/>
    <n v="-10.41"/>
    <n v="-500.73"/>
    <n v="0"/>
    <n v="-10.41"/>
    <n v="14861.87"/>
    <m/>
    <n v="-202.51000000000002"/>
  </r>
  <r>
    <x v="3"/>
    <s v="43836"/>
    <s v="ZLATIN1"/>
    <x v="1"/>
    <s v="Tikkun Olam Fund"/>
    <n v="2310.7199999999998"/>
    <n v="9391.14"/>
    <n v="-10240"/>
    <n v="56.11"/>
    <n v="-150"/>
    <n v="0"/>
    <n v="-7.99"/>
    <n v="194.2"/>
    <n v="0"/>
    <n v="-7.99"/>
    <n v="1554.18"/>
    <m/>
    <n v="242.32"/>
  </r>
  <r>
    <x v="3"/>
    <s v="43834"/>
    <s v="GARBER7"/>
    <x v="1"/>
    <s v="Eileen and Robert Garber Family Fund"/>
    <n v="6374.27"/>
    <n v="1000"/>
    <n v="0"/>
    <n v="148.66999999999999"/>
    <n v="-150"/>
    <n v="0"/>
    <n v="-0.36"/>
    <n v="-217.77"/>
    <n v="0"/>
    <n v="-0.36"/>
    <n v="7154.81"/>
    <m/>
    <n v="-69.460000000000022"/>
  </r>
  <r>
    <x v="3"/>
    <s v="42917"/>
    <s v="UJFPMB5"/>
    <x v="0"/>
    <s v="UJFPMB Kravitz"/>
    <n v="112296.74"/>
    <n v="0"/>
    <n v="-5568"/>
    <n v="2242.89"/>
    <n v="-1035.8399999999999"/>
    <n v="0"/>
    <n v="-65.239999999999995"/>
    <n v="-3892.71"/>
    <n v="0"/>
    <n v="-65.239999999999995"/>
    <n v="103977.84"/>
    <m/>
    <n v="-1715.0600000000002"/>
  </r>
  <r>
    <x v="3"/>
    <s v="42559"/>
    <s v="PUNIA1"/>
    <x v="3"/>
    <s v="Renee Punia Fund"/>
    <n v="116721.68"/>
    <n v="0"/>
    <n v="-5788"/>
    <n v="2331.2600000000002"/>
    <n v="-1076.6500000000001"/>
    <n v="0"/>
    <n v="-67.819999999999993"/>
    <n v="-4046.03"/>
    <n v="0"/>
    <n v="-67.819999999999993"/>
    <n v="108074.44"/>
    <m/>
    <n v="-1782.59"/>
  </r>
  <r>
    <x v="3"/>
    <s v="42558"/>
    <s v="KEHILL1"/>
    <x v="3"/>
    <s v="The Kehillah Fund"/>
    <n v="80619.42"/>
    <n v="3574"/>
    <n v="0"/>
    <n v="1774.47"/>
    <n v="0"/>
    <n v="0"/>
    <n v="-53.96"/>
    <n v="-2814.84"/>
    <n v="0"/>
    <n v="-53.96"/>
    <n v="83099.09"/>
    <m/>
    <n v="-1094.3300000000002"/>
  </r>
  <r>
    <x v="3"/>
    <s v="42557"/>
    <s v="FIF1"/>
    <x v="3"/>
    <s v="Foundation Investment Fund"/>
    <n v="108576.32000000001"/>
    <n v="137500"/>
    <n v="-123620"/>
    <n v="2479.06"/>
    <n v="0"/>
    <n v="0"/>
    <n v="-71.290000000000006"/>
    <n v="402.36"/>
    <n v="0"/>
    <n v="-71.290000000000006"/>
    <n v="125266.45"/>
    <m/>
    <n v="2810.13"/>
  </r>
  <r>
    <x v="3"/>
    <s v="42555"/>
    <s v="UJFPMB4"/>
    <x v="0"/>
    <s v="UJFPMB Julius and Dorothy Koppelman Designated Fund"/>
    <n v="555037.98"/>
    <n v="0"/>
    <n v="-65000"/>
    <n v="10595.22"/>
    <n v="-4935.5600000000004"/>
    <n v="0"/>
    <n v="-195.37"/>
    <n v="-23658.32"/>
    <n v="0"/>
    <n v="-195.37"/>
    <n v="471843.95"/>
    <m/>
    <n v="-13258.470000000001"/>
  </r>
  <r>
    <x v="3"/>
    <s v="42554"/>
    <s v="UJFPMB3"/>
    <x v="0"/>
    <s v="UJFPMB Shirley Kobak Lion of Judah Endowment Fund"/>
    <n v="92700.160000000003"/>
    <n v="0"/>
    <n v="-4597"/>
    <n v="1851.5"/>
    <n v="-855.08"/>
    <n v="0"/>
    <n v="-53.85"/>
    <n v="-3213.44"/>
    <n v="0"/>
    <n v="-53.85"/>
    <n v="85832.29"/>
    <m/>
    <n v="-1415.79"/>
  </r>
  <r>
    <x v="3"/>
    <s v="42553"/>
    <s v="UJFPMB2"/>
    <x v="0"/>
    <s v="UJFPMB Estates Fund"/>
    <n v="48461.19"/>
    <n v="0"/>
    <n v="0"/>
    <n v="1018.32"/>
    <n v="-464.16"/>
    <n v="0"/>
    <n v="-29.62"/>
    <n v="-1752.68"/>
    <n v="0"/>
    <n v="-29.62"/>
    <n v="47233.05"/>
    <m/>
    <n v="-763.98"/>
  </r>
  <r>
    <x v="3"/>
    <s v="42552"/>
    <s v="SRF1"/>
    <x v="0"/>
    <s v="Soviet Resettlement Fund"/>
    <n v="915.32"/>
    <n v="0"/>
    <n v="0"/>
    <n v="19.32"/>
    <n v="0"/>
    <n v="0"/>
    <n v="-0.56000000000000005"/>
    <n v="-33.08"/>
    <n v="0"/>
    <n v="-0.56000000000000005"/>
    <n v="901"/>
    <m/>
    <n v="-14.319999999999999"/>
  </r>
  <r>
    <x v="3"/>
    <s v="42551"/>
    <s v="PACK1"/>
    <x v="0"/>
    <s v="JFCS Pack Scholarship Fund"/>
    <n v="19182.36"/>
    <n v="0"/>
    <n v="-761"/>
    <n v="387.13"/>
    <n v="-178.3"/>
    <n v="0"/>
    <n v="-11.28"/>
    <n v="-670.7"/>
    <n v="0"/>
    <n v="-11.28"/>
    <n v="17948.21"/>
    <m/>
    <n v="-294.85000000000002"/>
  </r>
  <r>
    <x v="3"/>
    <s v="42550"/>
    <s v="AHALF1"/>
    <x v="0"/>
    <s v="AHA Sandy Light Fund"/>
    <n v="21875.24"/>
    <n v="617"/>
    <n v="-864"/>
    <n v="448.57"/>
    <n v="-205.23"/>
    <n v="0"/>
    <n v="-13.83"/>
    <n v="-716.99"/>
    <n v="0"/>
    <n v="-13.83"/>
    <n v="21140.76"/>
    <m/>
    <n v="-282.25"/>
  </r>
  <r>
    <x v="3"/>
    <s v="42549"/>
    <s v="SILK1"/>
    <x v="1"/>
    <s v="Allen and Judith Silk Philanthropic Fund"/>
    <n v="36285.919999999998"/>
    <n v="0"/>
    <n v="-11600"/>
    <n v="686.02"/>
    <n v="-344.23"/>
    <n v="0"/>
    <n v="-21.71"/>
    <n v="-1446.94"/>
    <n v="0"/>
    <n v="-21.71"/>
    <n v="23559.06"/>
    <m/>
    <n v="-782.63000000000011"/>
  </r>
  <r>
    <x v="3"/>
    <s v="42548"/>
    <s v="ROJER2"/>
    <x v="2"/>
    <s v="Goldie B. Rojer Hunger Relief Fund"/>
    <n v="54283.040000000001"/>
    <n v="0"/>
    <n v="-2154"/>
    <n v="1095.47"/>
    <n v="-504.56"/>
    <n v="0"/>
    <n v="-31.87"/>
    <n v="-1897.96"/>
    <n v="0"/>
    <n v="-31.87"/>
    <n v="50790.12"/>
    <m/>
    <n v="-834.36"/>
  </r>
  <r>
    <x v="3"/>
    <s v="42547"/>
    <s v="BERKOW5"/>
    <x v="2"/>
    <s v="Anne and Bernard Berkowitz Legacy Fund"/>
    <n v="12580.91"/>
    <n v="0"/>
    <n v="-624"/>
    <n v="250.8"/>
    <n v="-150"/>
    <n v="0"/>
    <n v="-7.27"/>
    <n v="-436.47"/>
    <n v="0"/>
    <n v="-7.27"/>
    <n v="11613.97"/>
    <m/>
    <n v="-192.94000000000003"/>
  </r>
  <r>
    <x v="3"/>
    <s v="42546"/>
    <s v="YSF1"/>
    <x v="4"/>
    <s v="Youth Scholarship Fund"/>
    <n v="5443.33"/>
    <n v="1500"/>
    <n v="0"/>
    <n v="124.71"/>
    <n v="0"/>
    <n v="0"/>
    <n v="-3.39"/>
    <n v="-163.63999999999999"/>
    <n v="0"/>
    <n v="-3.39"/>
    <n v="6901.01"/>
    <m/>
    <n v="-42.319999999999993"/>
  </r>
  <r>
    <x v="3"/>
    <s v="42545"/>
    <s v="WOLLIN1"/>
    <x v="4"/>
    <s v="Wollin Scholarship Fund"/>
    <n v="28216.54"/>
    <n v="0"/>
    <n v="-5000"/>
    <n v="485.76"/>
    <n v="-232.9"/>
    <n v="0"/>
    <n v="-14.02"/>
    <n v="-1096.95"/>
    <n v="0"/>
    <n v="-14.02"/>
    <n v="22358.43"/>
    <m/>
    <n v="-625.21"/>
  </r>
  <r>
    <x v="3"/>
    <s v="42544"/>
    <s v="UJFPMB1"/>
    <x v="4"/>
    <s v="UJFPMB Income Fund"/>
    <n v="10904.38"/>
    <n v="0"/>
    <n v="-433"/>
    <n v="219.4"/>
    <n v="-150"/>
    <n v="0"/>
    <n v="-6.35"/>
    <n v="-381.62"/>
    <n v="0"/>
    <n v="-6.35"/>
    <n v="10152.81"/>
    <m/>
    <n v="-168.57"/>
  </r>
  <r>
    <x v="3"/>
    <s v="42543"/>
    <s v="SIF1"/>
    <x v="4"/>
    <s v="Scholarship Investment Fund"/>
    <n v="26665.38"/>
    <n v="0"/>
    <n v="-1000"/>
    <n v="538.9"/>
    <n v="-247.94"/>
    <n v="0"/>
    <n v="-15.64"/>
    <n v="-979.66"/>
    <n v="0"/>
    <n v="-15.64"/>
    <n v="24961.040000000001"/>
    <m/>
    <n v="-456.4"/>
  </r>
  <r>
    <x v="3"/>
    <s v="42542"/>
    <s v="OFFNER1"/>
    <x v="2"/>
    <s v="Offner JFCS Senior Services Fund"/>
    <n v="16357.43"/>
    <n v="0"/>
    <n v="-649"/>
    <n v="330.08"/>
    <n v="-153.41"/>
    <n v="0"/>
    <n v="-9.61"/>
    <n v="-571.94000000000005"/>
    <n v="0"/>
    <n v="-9.61"/>
    <n v="15303.55"/>
    <m/>
    <n v="-251.47000000000008"/>
  </r>
  <r>
    <x v="3"/>
    <s v="42541"/>
    <s v="KLATZK2"/>
    <x v="4"/>
    <s v="Clive B. Klatzkin PACE Designated Fund"/>
    <n v="46748.46"/>
    <n v="0"/>
    <n v="0"/>
    <n v="982.34"/>
    <n v="-447.76"/>
    <n v="0"/>
    <n v="-28.59"/>
    <n v="-1690.57"/>
    <n v="0"/>
    <n v="-28.59"/>
    <n v="45563.88"/>
    <m/>
    <n v="-736.81999999999994"/>
  </r>
  <r>
    <x v="3"/>
    <s v="42540"/>
    <s v="KELSEY2"/>
    <x v="4"/>
    <s v="Harold H. Kelsey Greenwood House Fund"/>
    <n v="104063.29"/>
    <n v="0"/>
    <n v="-9125"/>
    <n v="1995.24"/>
    <n v="-931.6"/>
    <n v="0"/>
    <n v="-58.01"/>
    <n v="-3487.41"/>
    <n v="0"/>
    <n v="-58.01"/>
    <n v="92456.51"/>
    <m/>
    <n v="-1550.1799999999998"/>
  </r>
  <r>
    <x v="3"/>
    <s v="42539"/>
    <s v="KAHN7"/>
    <x v="4"/>
    <s v="Albert B. Kahn Scholarship Fund"/>
    <n v="141440.84"/>
    <n v="0"/>
    <n v="-5600"/>
    <n v="2852.14"/>
    <n v="-1312.9"/>
    <n v="0"/>
    <n v="-82.88"/>
    <n v="-5200.83"/>
    <n v="0"/>
    <n v="-82.88"/>
    <n v="132096.37"/>
    <m/>
    <n v="-2431.5700000000002"/>
  </r>
  <r>
    <x v="3"/>
    <s v="42537"/>
    <s v="GHIF1"/>
    <x v="4"/>
    <s v="Greenwood House Income Fund"/>
    <n v="11455.78"/>
    <n v="0"/>
    <n v="-455"/>
    <n v="230.61"/>
    <n v="-150"/>
    <n v="0"/>
    <n v="-6.68"/>
    <n v="-400.94"/>
    <n v="0"/>
    <n v="-6.68"/>
    <n v="10673.77"/>
    <m/>
    <n v="-177.01"/>
  </r>
  <r>
    <x v="3"/>
    <s v="42536"/>
    <s v="GLAZER2"/>
    <x v="4"/>
    <s v="Henry and Geralyn Glazer Greenwood House Scholarship Fund"/>
    <n v="37489.56"/>
    <n v="0"/>
    <n v="-1500"/>
    <n v="756.44"/>
    <n v="-347.88"/>
    <n v="0"/>
    <n v="-21.96"/>
    <n v="-1377.88"/>
    <n v="0"/>
    <n v="-21.96"/>
    <n v="34998.28"/>
    <m/>
    <n v="-643.40000000000009"/>
  </r>
  <r>
    <x v="3"/>
    <s v="42535"/>
    <s v="GARB3"/>
    <x v="4"/>
    <s v="Benjamin Garb Scholarship Fund"/>
    <n v="38046.42"/>
    <n v="0"/>
    <n v="-1400"/>
    <n v="769.47"/>
    <n v="-353.96"/>
    <n v="0"/>
    <n v="-22.38"/>
    <n v="-1397.43"/>
    <n v="0"/>
    <n v="-22.38"/>
    <n v="35642.120000000003"/>
    <m/>
    <n v="-650.34"/>
  </r>
  <r>
    <x v="3"/>
    <s v="42534"/>
    <s v="EDINIT1"/>
    <x v="4"/>
    <s v="Educational Initiative Fund"/>
    <n v="103775.76"/>
    <n v="0"/>
    <n v="-4000"/>
    <n v="2096.7600000000002"/>
    <n v="-965.42"/>
    <n v="0"/>
    <n v="-61"/>
    <n v="-3631.95"/>
    <n v="0"/>
    <n v="-61"/>
    <n v="97214.15"/>
    <m/>
    <n v="-1596.1899999999996"/>
  </r>
  <r>
    <x v="3"/>
    <s v="42533"/>
    <s v="DENBO4"/>
    <x v="4"/>
    <s v="Alexander &amp; Syble G. Denbo Penn State/Dickinson School of Law Fund"/>
    <n v="212055.93"/>
    <n v="0"/>
    <n v="-18594"/>
    <n v="4063.06"/>
    <n v="-1895.62"/>
    <n v="0"/>
    <n v="-117.97"/>
    <n v="-7485.72"/>
    <n v="0"/>
    <n v="-117.97"/>
    <n v="188025.68"/>
    <m/>
    <n v="-3540.63"/>
  </r>
  <r>
    <x v="3"/>
    <s v="42532"/>
    <s v="DENBO3"/>
    <x v="2"/>
    <s v="Alexander &amp; Syble G. Denbo JFCS Fund"/>
    <n v="1484930.43"/>
    <n v="0"/>
    <n v="-88595.69"/>
    <n v="29660.51"/>
    <n v="-12795.95"/>
    <n v="0"/>
    <n v="-823.63"/>
    <n v="-54034.05"/>
    <n v="0"/>
    <n v="-823.63"/>
    <n v="1358341.62"/>
    <m/>
    <n v="-25197.170000000006"/>
  </r>
  <r>
    <x v="3"/>
    <s v="42531"/>
    <s v="DENBO2"/>
    <x v="2"/>
    <s v="Alexander &amp; Syble G. Denbo Greenwood House Fund"/>
    <n v="1222887.54"/>
    <n v="0"/>
    <n v="-108934.96"/>
    <n v="23665.18"/>
    <n v="-10785.14"/>
    <n v="0"/>
    <n v="-655.53"/>
    <n v="-43416.46"/>
    <n v="0"/>
    <n v="-655.53"/>
    <n v="1082760.6299999999"/>
    <m/>
    <n v="-20406.809999999998"/>
  </r>
  <r>
    <x v="3"/>
    <s v="42530"/>
    <s v="DENBO1"/>
    <x v="4"/>
    <s v="Alexander Denbo School Fund"/>
    <n v="21845.040000000001"/>
    <n v="0"/>
    <n v="-892"/>
    <n v="450.45"/>
    <n v="-206.97"/>
    <n v="0"/>
    <n v="-11.95"/>
    <n v="-813.79"/>
    <n v="0"/>
    <n v="-11.95"/>
    <n v="20370.78"/>
    <m/>
    <n v="-375.28999999999996"/>
  </r>
  <r>
    <x v="3"/>
    <s v="42529"/>
    <s v="AHAPIF1"/>
    <x v="4"/>
    <s v="AHA Pooled Special Funds"/>
    <n v="2553.4299999999998"/>
    <n v="0"/>
    <n v="0"/>
    <n v="53.96"/>
    <n v="0"/>
    <n v="0"/>
    <n v="-1.6"/>
    <n v="-92.16"/>
    <n v="0"/>
    <n v="-1.6"/>
    <n v="2513.63"/>
    <m/>
    <n v="-39.799999999999997"/>
  </r>
  <r>
    <x v="3"/>
    <s v="42528"/>
    <s v="ZELTT1"/>
    <x v="1"/>
    <s v="Harold &amp; Marilyn Zeltt Charitable Fund"/>
    <n v="13752.67"/>
    <n v="0"/>
    <n v="-8827"/>
    <n v="146.19999999999999"/>
    <n v="-150"/>
    <n v="0"/>
    <n v="11.82"/>
    <n v="-524.04"/>
    <n v="0"/>
    <n v="11.82"/>
    <n v="4409.6499999999996"/>
    <m/>
    <n v="-366.02"/>
  </r>
  <r>
    <x v="3"/>
    <s v="42527"/>
    <s v="WISOTS1"/>
    <x v="1"/>
    <s v="Wisotsky Family Philanthropic Fund"/>
    <n v="2633.51"/>
    <n v="0"/>
    <n v="0"/>
    <n v="53.66"/>
    <n v="-150"/>
    <n v="0"/>
    <n v="-1.46"/>
    <n v="-96.07"/>
    <n v="0"/>
    <n v="-1.46"/>
    <n v="2439.64"/>
    <m/>
    <n v="-43.87"/>
  </r>
  <r>
    <x v="3"/>
    <s v="42525"/>
    <s v="URKEN1"/>
    <x v="1"/>
    <s v="Ernestine and Karl Urken Philanthropic Fund"/>
    <n v="14992.06"/>
    <n v="0"/>
    <n v="0"/>
    <n v="314.94"/>
    <n v="-150"/>
    <n v="0"/>
    <n v="-9.16"/>
    <n v="-542.33000000000004"/>
    <n v="0"/>
    <n v="-9.16"/>
    <n v="14605.51"/>
    <m/>
    <n v="-236.55000000000004"/>
  </r>
  <r>
    <x v="3"/>
    <s v="42524"/>
    <s v="SUCHAR1"/>
    <x v="1"/>
    <s v="Sucharow Family Charitable Fund"/>
    <n v="538033.78"/>
    <n v="194516.02"/>
    <n v="-427000"/>
    <n v="7830.45"/>
    <n v="-4468.8"/>
    <n v="0"/>
    <n v="-233.25"/>
    <n v="-4382.42"/>
    <n v="0"/>
    <n v="-233.25"/>
    <n v="304295.78000000003"/>
    <m/>
    <n v="3214.7799999999997"/>
  </r>
  <r>
    <x v="3"/>
    <s v="42523"/>
    <s v="STIX1"/>
    <x v="1"/>
    <s v="Stix Charitable Fund"/>
    <n v="200561.56"/>
    <n v="0"/>
    <n v="-20000"/>
    <n v="4095.51"/>
    <n v="-1921"/>
    <n v="0"/>
    <n v="-122.65"/>
    <n v="-7381.91"/>
    <n v="0"/>
    <n v="-122.65"/>
    <n v="175231.51"/>
    <m/>
    <n v="-3409.0499999999997"/>
  </r>
  <r>
    <x v="3"/>
    <s v="42522"/>
    <s v="SMUKLE3"/>
    <x v="1"/>
    <s v="Smukler Fund"/>
    <n v="961840.67"/>
    <n v="0"/>
    <n v="-140000"/>
    <n v="17958.77"/>
    <n v="-8518.23"/>
    <n v="0"/>
    <n v="-261.86"/>
    <n v="-35553.160000000003"/>
    <n v="0"/>
    <n v="-261.86"/>
    <n v="795466.19"/>
    <m/>
    <n v="-17856.250000000004"/>
  </r>
  <r>
    <x v="3"/>
    <s v="42520"/>
    <s v="SHECHT5"/>
    <x v="1"/>
    <s v="Shechtel Children's Fund"/>
    <n v="7163.43"/>
    <n v="0"/>
    <n v="0"/>
    <n v="149.44"/>
    <n v="-150"/>
    <n v="0"/>
    <n v="-4.29"/>
    <n v="-259.58999999999997"/>
    <n v="0"/>
    <n v="-4.29"/>
    <n v="6898.99"/>
    <m/>
    <n v="-114.43999999999998"/>
  </r>
  <r>
    <x v="3"/>
    <s v="42519"/>
    <s v="SCHWAR33"/>
    <x v="1"/>
    <s v="Judith &amp; Martin Schwartz Family Charitable Trust"/>
    <n v="105918.28"/>
    <n v="19842.63"/>
    <n v="-19935"/>
    <n v="2369.85"/>
    <n v="-1072.95"/>
    <n v="0"/>
    <n v="-58.88"/>
    <n v="-4936.21"/>
    <n v="0"/>
    <n v="-58.88"/>
    <n v="102127.72"/>
    <m/>
    <n v="-2625.2400000000002"/>
  </r>
  <r>
    <x v="3"/>
    <s v="42518"/>
    <s v="SCHNUR3"/>
    <x v="1"/>
    <s v="Schnur Family Philanthropic Fund"/>
    <n v="131615.49"/>
    <n v="0"/>
    <n v="-11000"/>
    <n v="2612.9299999999998"/>
    <n v="-1215.74"/>
    <n v="0"/>
    <n v="-61.14"/>
    <n v="-5078.82"/>
    <n v="0"/>
    <n v="-61.14"/>
    <n v="116872.72"/>
    <m/>
    <n v="-2527.0299999999997"/>
  </r>
  <r>
    <x v="3"/>
    <s v="42516"/>
    <s v="SHAKUN1"/>
    <x v="1"/>
    <s v="Shakun &amp; Devery Family Fund"/>
    <n v="10066.299999999999"/>
    <n v="4961"/>
    <n v="-3710"/>
    <n v="248.63"/>
    <n v="-150"/>
    <n v="0"/>
    <n v="-2.79"/>
    <n v="66.88"/>
    <n v="0"/>
    <n v="-2.79"/>
    <n v="11480.02"/>
    <m/>
    <n v="312.71999999999997"/>
  </r>
  <r>
    <x v="3"/>
    <s v="42515"/>
    <s v="SCHAEF7"/>
    <x v="1"/>
    <s v="Schaefer Family Philanthropic Fund"/>
    <n v="63900.82"/>
    <n v="45000"/>
    <n v="-11180"/>
    <n v="1729.42"/>
    <n v="-768.03"/>
    <n v="0"/>
    <n v="-82.05"/>
    <n v="-1985.47"/>
    <n v="0"/>
    <n v="-82.05"/>
    <n v="96614.69"/>
    <m/>
    <n v="-338.09999999999997"/>
  </r>
  <r>
    <x v="3"/>
    <s v="42514"/>
    <s v="KOHN6"/>
    <x v="2"/>
    <s v="RMK PACE Fund"/>
    <n v="100190.48"/>
    <n v="0"/>
    <n v="-4968"/>
    <n v="2001.09"/>
    <n v="-924.18"/>
    <n v="0"/>
    <n v="-58.21"/>
    <n v="-3473.08"/>
    <n v="0"/>
    <n v="-58.21"/>
    <n v="92768.1"/>
    <m/>
    <n v="-1530.2"/>
  </r>
  <r>
    <x v="3"/>
    <s v="42513"/>
    <s v="PIMLEY1"/>
    <x v="1"/>
    <s v="Oliver Jenson Pimley Tzedakah Fund"/>
    <n v="8374.15"/>
    <n v="0"/>
    <n v="0"/>
    <n v="175.04"/>
    <n v="-150"/>
    <n v="0"/>
    <n v="-5.04"/>
    <n v="-303.39"/>
    <n v="0"/>
    <n v="-5.04"/>
    <n v="8090.76"/>
    <m/>
    <n v="-133.38999999999999"/>
  </r>
  <r>
    <x v="3"/>
    <s v="42512"/>
    <s v="PERLMA8"/>
    <x v="1"/>
    <s v="Bonnie and Richard Perlman Philanthropic Fund"/>
    <n v="11388.66"/>
    <n v="0"/>
    <n v="-2275"/>
    <n v="202.51"/>
    <n v="-150"/>
    <n v="0"/>
    <n v="-1.67"/>
    <n v="-397.76"/>
    <n v="0"/>
    <n v="-1.67"/>
    <n v="8766.74"/>
    <m/>
    <n v="-196.92"/>
  </r>
  <r>
    <x v="3"/>
    <s v="42511"/>
    <s v="PERLMA7"/>
    <x v="1"/>
    <s v="B. Perlman Family Charitable Fund"/>
    <n v="7202.13"/>
    <n v="0"/>
    <n v="-6800"/>
    <n v="28.25"/>
    <n v="-150"/>
    <n v="0"/>
    <n v="5.98"/>
    <n v="-219.42"/>
    <n v="0"/>
    <n v="5.98"/>
    <n v="66.94"/>
    <m/>
    <n v="-185.19"/>
  </r>
  <r>
    <x v="3"/>
    <s v="42510"/>
    <s v="NEUMAN3"/>
    <x v="1"/>
    <s v="Jerry Neumann &amp; Naomi Richman Philanthropic Fund"/>
    <n v="73549.490000000005"/>
    <n v="24602.55"/>
    <n v="-8320"/>
    <n v="1680.81"/>
    <n v="-790.02"/>
    <n v="0"/>
    <n v="-76"/>
    <n v="-1142.3599999999999"/>
    <n v="0"/>
    <n v="-76"/>
    <n v="89504.47"/>
    <m/>
    <n v="462.45000000000005"/>
  </r>
  <r>
    <x v="3"/>
    <s v="42509"/>
    <s v="MILLER147"/>
    <x v="1"/>
    <s v="Sue Ellen and David H. Miller Family Charitable Fund"/>
    <n v="14603.04"/>
    <n v="0"/>
    <n v="0"/>
    <n v="306.72000000000003"/>
    <n v="-150"/>
    <n v="0"/>
    <n v="-8.91"/>
    <n v="-528.20000000000005"/>
    <n v="0"/>
    <n v="-8.91"/>
    <n v="14222.65"/>
    <m/>
    <n v="-230.39000000000001"/>
  </r>
  <r>
    <x v="3"/>
    <s v="42508"/>
    <s v="KLATZK1"/>
    <x v="1"/>
    <s v="Clive and Audrey Klatzkin Family Philanthropic Fund"/>
    <n v="58497.63"/>
    <n v="0"/>
    <n v="-2000"/>
    <n v="1207.4100000000001"/>
    <n v="-554.97"/>
    <n v="0"/>
    <n v="-32.44"/>
    <n v="-2278.23"/>
    <n v="0"/>
    <n v="-32.44"/>
    <n v="54839.4"/>
    <m/>
    <n v="-1103.26"/>
  </r>
  <r>
    <x v="3"/>
    <s v="42507"/>
    <s v="KALISH2"/>
    <x v="1"/>
    <s v="Peggy and Errol Kalish Philanthropic Fund"/>
    <n v="73930.75"/>
    <n v="0"/>
    <n v="0"/>
    <n v="1553.5"/>
    <n v="-708.12"/>
    <n v="0"/>
    <n v="-45.22"/>
    <n v="-2673.67"/>
    <n v="0"/>
    <n v="-45.22"/>
    <n v="72057.240000000005"/>
    <m/>
    <n v="-1165.3900000000001"/>
  </r>
  <r>
    <x v="3"/>
    <s v="42506"/>
    <s v="KAHN6"/>
    <x v="1"/>
    <s v="Kahn Family Philanthropic Fund"/>
    <n v="9376.6200000000008"/>
    <n v="11972.86"/>
    <n v="-11602"/>
    <n v="240.99"/>
    <n v="-150"/>
    <n v="0"/>
    <n v="2.1800000000000002"/>
    <n v="-590.82000000000005"/>
    <n v="0"/>
    <n v="2.1800000000000002"/>
    <n v="9249.83"/>
    <m/>
    <n v="-347.65000000000003"/>
  </r>
  <r>
    <x v="3"/>
    <s v="42505"/>
    <s v="HARRIS51"/>
    <x v="1"/>
    <s v="Sara Jane and Morris Harris Philanthropic Fund"/>
    <n v="92449"/>
    <n v="0"/>
    <n v="0"/>
    <n v="1942.65"/>
    <n v="-885.5"/>
    <n v="0"/>
    <n v="-56.53"/>
    <n v="-3343.27"/>
    <n v="0"/>
    <n v="-56.53"/>
    <n v="90106.35"/>
    <m/>
    <n v="-1457.1499999999999"/>
  </r>
  <r>
    <x v="3"/>
    <s v="42504"/>
    <s v="GOODMA11"/>
    <x v="1"/>
    <s v="Goodman Family Philanthropic Fund"/>
    <n v="34163.1"/>
    <n v="0"/>
    <n v="0"/>
    <n v="717.87"/>
    <n v="-327.22000000000003"/>
    <n v="0"/>
    <n v="-20.89"/>
    <n v="-1235.56"/>
    <n v="0"/>
    <n v="-20.89"/>
    <n v="33297.300000000003"/>
    <m/>
    <n v="-538.57999999999993"/>
  </r>
  <r>
    <x v="3"/>
    <s v="42503"/>
    <s v="GOLDMA21"/>
    <x v="1"/>
    <s v="Debby and Peter Goldman Fund"/>
    <n v="172507.55"/>
    <n v="0"/>
    <n v="0"/>
    <n v="3624.96"/>
    <n v="-1652.31"/>
    <n v="0"/>
    <n v="-105.49"/>
    <n v="-6238.52"/>
    <n v="0"/>
    <n v="-105.49"/>
    <n v="168136.19"/>
    <m/>
    <n v="-2719.05"/>
  </r>
  <r>
    <x v="3"/>
    <s v="42502"/>
    <s v="GLAZER1"/>
    <x v="1"/>
    <s v="Richard M. Glazer Philanthropic Fund"/>
    <n v="22425.03"/>
    <n v="0"/>
    <n v="-1024"/>
    <n v="454.88"/>
    <n v="-209.36"/>
    <n v="0"/>
    <n v="-12.21"/>
    <n v="-828.64"/>
    <n v="0"/>
    <n v="-12.21"/>
    <n v="20805.7"/>
    <m/>
    <n v="-385.96999999999997"/>
  </r>
  <r>
    <x v="3"/>
    <s v="42499"/>
    <s v="FELDMA13"/>
    <x v="1"/>
    <s v="Talia Feldman Fund for Tzedakah"/>
    <n v="14149.32"/>
    <n v="0"/>
    <n v="-810"/>
    <n v="288.27"/>
    <n v="-150"/>
    <n v="0"/>
    <n v="-7.47"/>
    <n v="-532.19000000000005"/>
    <n v="0"/>
    <n v="-7.47"/>
    <n v="12937.93"/>
    <m/>
    <n v="-251.39000000000007"/>
  </r>
  <r>
    <x v="3"/>
    <s v="42498"/>
    <s v="FANNIN3"/>
    <x v="1"/>
    <s v="Lillian and Arthur Fanning Memorial Fund"/>
    <n v="60833.75"/>
    <n v="0"/>
    <n v="-10800"/>
    <n v="1215.79"/>
    <n v="-573.07000000000005"/>
    <n v="0"/>
    <n v="-31.21"/>
    <n v="-2567.4"/>
    <n v="0"/>
    <n v="-31.21"/>
    <n v="48077.86"/>
    <m/>
    <n v="-1382.8200000000002"/>
  </r>
  <r>
    <x v="3"/>
    <s v="42497"/>
    <s v="FAMILA1"/>
    <x v="1"/>
    <s v="Rosalind &quot;Mimi&quot; and Aaron &quot;Poppy&quot; Familant Fund"/>
    <n v="17452.57"/>
    <n v="0"/>
    <n v="0"/>
    <n v="366.76"/>
    <n v="-167.16"/>
    <n v="0"/>
    <n v="-10.68"/>
    <n v="-631.1"/>
    <n v="0"/>
    <n v="-10.68"/>
    <n v="17010.39"/>
    <m/>
    <n v="-275.02000000000004"/>
  </r>
  <r>
    <x v="3"/>
    <s v="42496"/>
    <s v="ENTIN1"/>
    <x v="1"/>
    <s v="Sadie and Leon Entin Memorial Fund"/>
    <n v="10317.620000000001"/>
    <n v="0"/>
    <n v="-1000"/>
    <n v="195.21"/>
    <n v="-150"/>
    <n v="0"/>
    <n v="-5.62"/>
    <n v="-336.62"/>
    <n v="0"/>
    <n v="-5.62"/>
    <n v="9020.59"/>
    <m/>
    <n v="-147.03"/>
  </r>
  <r>
    <x v="3"/>
    <s v="42495"/>
    <s v="EGGER2"/>
    <x v="1"/>
    <s v="Audrey and David Egger Charitable Fund"/>
    <n v="24074.61"/>
    <n v="33678.379999999997"/>
    <n v="-28500"/>
    <n v="865.82"/>
    <n v="-398.22"/>
    <n v="0"/>
    <n v="-86.12"/>
    <n v="538.64"/>
    <n v="0"/>
    <n v="-86.12"/>
    <n v="30173.11"/>
    <m/>
    <n v="1318.3400000000001"/>
  </r>
  <r>
    <x v="3"/>
    <s v="42494"/>
    <s v="COHEN57"/>
    <x v="1"/>
    <s v="Janet and Howard Cohen Philanthropic Fund"/>
    <n v="47277.32"/>
    <n v="0"/>
    <n v="-3700"/>
    <n v="957.3"/>
    <n v="-439.85"/>
    <n v="0"/>
    <n v="-23.81"/>
    <n v="-1776.24"/>
    <n v="0"/>
    <n v="-23.81"/>
    <n v="42294.720000000001"/>
    <m/>
    <n v="-842.75"/>
  </r>
  <r>
    <x v="3"/>
    <s v="42493"/>
    <s v="BURNS15"/>
    <x v="1"/>
    <s v="Joseph Burns Fund"/>
    <n v="10279.01"/>
    <n v="2500"/>
    <n v="0"/>
    <n v="266.62"/>
    <n v="-150"/>
    <n v="0"/>
    <n v="-7.8"/>
    <n v="-449.78"/>
    <n v="0"/>
    <n v="-7.8"/>
    <n v="12438.05"/>
    <m/>
    <n v="-190.95999999999998"/>
  </r>
  <r>
    <x v="3"/>
    <s v="42492"/>
    <s v="BERMAN14"/>
    <x v="1"/>
    <s v="Ronald and Marie Berman Philanthropic Fund"/>
    <n v="19062.849999999999"/>
    <n v="0"/>
    <n v="0"/>
    <n v="400.59"/>
    <n v="-182.59"/>
    <n v="0"/>
    <n v="-11.66"/>
    <n v="-689.48"/>
    <n v="0"/>
    <n v="-11.66"/>
    <n v="18579.71"/>
    <m/>
    <n v="-300.55000000000007"/>
  </r>
  <r>
    <x v="3"/>
    <s v="42491"/>
    <s v="BERGER10"/>
    <x v="1"/>
    <s v="Samuel S. and Regina Berger Charitable Fund"/>
    <n v="41718.089999999997"/>
    <n v="0"/>
    <n v="-30000"/>
    <n v="381.53"/>
    <n v="-275.74"/>
    <n v="0"/>
    <n v="44.36"/>
    <n v="-1627.77"/>
    <n v="0"/>
    <n v="44.36"/>
    <n v="10240.469999999999"/>
    <m/>
    <n v="-1201.8800000000001"/>
  </r>
  <r>
    <x v="3"/>
    <s v="42490"/>
    <s v="AXELRO4"/>
    <x v="1"/>
    <s v="Axelrod Family Fund"/>
    <n v="75902.38"/>
    <n v="0"/>
    <n v="-8529"/>
    <n v="1445.17"/>
    <n v="-675.54"/>
    <n v="0"/>
    <n v="-45.54"/>
    <n v="-2615.31"/>
    <n v="0"/>
    <n v="-45.54"/>
    <n v="65482.16"/>
    <m/>
    <n v="-1215.6799999999998"/>
  </r>
  <r>
    <x v="3"/>
    <s v="42489"/>
    <s v="APPLES1"/>
    <x v="1"/>
    <s v="Louis Applestein Memorial Fund"/>
    <n v="25232.66"/>
    <n v="0"/>
    <n v="0"/>
    <n v="530.26"/>
    <n v="-241.67"/>
    <n v="0"/>
    <n v="-15.44"/>
    <n v="-912.5"/>
    <n v="0"/>
    <n v="-15.44"/>
    <n v="24593.31"/>
    <m/>
    <n v="-397.68"/>
  </r>
  <r>
    <x v="3"/>
    <s v="42488"/>
    <s v="ANSHEN1"/>
    <x v="1"/>
    <s v="Rose Perlman Anshen and Harold Anshen Memorial Fund"/>
    <n v="29978.9"/>
    <n v="0"/>
    <n v="-1500"/>
    <n v="606.12"/>
    <n v="-279.8"/>
    <n v="0"/>
    <n v="-14.87"/>
    <n v="-1074.45"/>
    <n v="0"/>
    <n v="-14.87"/>
    <n v="27715.9"/>
    <m/>
    <n v="-483.20000000000005"/>
  </r>
  <r>
    <x v="3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4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4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4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4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4"/>
    <s v="73981"/>
    <s v="BRENT4"/>
    <x v="1"/>
    <s v="The Brent Family Fund"/>
    <n v="0"/>
    <n v="0"/>
    <n v="0"/>
    <n v="0"/>
    <n v="0"/>
    <n v="0"/>
    <n v="-7.0000000000000007E-2"/>
    <n v="0"/>
    <n v="0"/>
    <n v="-7.0000000000000007E-2"/>
    <n v="0"/>
    <m/>
    <n v="-7.0000000000000007E-2"/>
  </r>
  <r>
    <x v="4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4"/>
    <s v="72136"/>
    <s v="APPLES2"/>
    <x v="2"/>
    <s v="The Anice Applestein Fund"/>
    <n v="0"/>
    <n v="368306.47"/>
    <n v="0"/>
    <n v="193.75"/>
    <n v="0"/>
    <n v="0"/>
    <n v="0"/>
    <n v="-14668.15"/>
    <n v="0"/>
    <n v="0"/>
    <n v="353832.07"/>
    <m/>
    <n v="-14474.4"/>
  </r>
  <r>
    <x v="4"/>
    <s v="72135"/>
    <s v="FELDST5"/>
    <x v="1"/>
    <s v="The Ruth and Nathan Feldstein Israel Travel Scholarship"/>
    <n v="0"/>
    <n v="50000"/>
    <n v="0"/>
    <n v="26.3"/>
    <n v="0"/>
    <n v="0"/>
    <n v="0"/>
    <n v="-1991.3"/>
    <n v="0"/>
    <n v="0"/>
    <n v="48035"/>
    <m/>
    <n v="-1965"/>
  </r>
  <r>
    <x v="4"/>
    <s v="71829"/>
    <s v="DREIER2"/>
    <x v="1"/>
    <s v="Sandra H. and William A. Dreier Charitable Trust"/>
    <n v="0"/>
    <n v="100182.39999999999"/>
    <n v="0"/>
    <n v="495.4"/>
    <n v="0"/>
    <n v="0"/>
    <n v="0"/>
    <n v="475.93"/>
    <n v="0"/>
    <n v="0"/>
    <n v="101153.73"/>
    <m/>
    <n v="971.32999999999993"/>
  </r>
  <r>
    <x v="4"/>
    <s v="71543"/>
    <s v="GROSSM25"/>
    <x v="1"/>
    <s v="The Amy Marlene Grossman Memorial Fund"/>
    <n v="0"/>
    <n v="6500"/>
    <n v="0"/>
    <n v="35.28"/>
    <n v="0"/>
    <n v="0"/>
    <n v="0"/>
    <n v="112.77"/>
    <n v="0"/>
    <n v="0"/>
    <n v="6648.05"/>
    <m/>
    <n v="148.05000000000001"/>
  </r>
  <r>
    <x v="4"/>
    <s v="70511"/>
    <s v="SACHS4"/>
    <x v="1"/>
    <s v="The Renee Lisse Sachs (nee Lyszka) Charitable Contribution Fund for the Benefit of Humanity"/>
    <n v="0"/>
    <n v="8340"/>
    <n v="-118"/>
    <n v="77.680000000000007"/>
    <n v="-37.5"/>
    <n v="0"/>
    <n v="0.11"/>
    <n v="575"/>
    <n v="0"/>
    <n v="0.11"/>
    <n v="8837.2900000000009"/>
    <m/>
    <n v="652.79000000000008"/>
  </r>
  <r>
    <x v="4"/>
    <s v="70509"/>
    <s v="RUBIN18"/>
    <x v="1"/>
    <s v="Amy E. and Kenneth A. Rubin Philanthropic Fund"/>
    <n v="0"/>
    <n v="6370.58"/>
    <n v="0"/>
    <n v="69.2"/>
    <n v="-75"/>
    <n v="0"/>
    <n v="0.12"/>
    <n v="593.9"/>
    <n v="0"/>
    <n v="0.12"/>
    <n v="6958.8"/>
    <m/>
    <n v="663.22"/>
  </r>
  <r>
    <x v="4"/>
    <s v="70466"/>
    <s v="SMALL10"/>
    <x v="2"/>
    <s v="The Small Family Fund"/>
    <n v="0"/>
    <n v="18293.03"/>
    <n v="-300"/>
    <n v="194.8"/>
    <n v="-92.92"/>
    <n v="0"/>
    <n v="0.32"/>
    <n v="1353.49"/>
    <n v="0"/>
    <n v="0.32"/>
    <n v="19448.72"/>
    <m/>
    <n v="1548.61"/>
  </r>
  <r>
    <x v="4"/>
    <s v="66878"/>
    <s v="WALLAC38"/>
    <x v="2"/>
    <s v="Robin Liebmann Wallack Fund"/>
    <n v="0"/>
    <n v="194808.6"/>
    <n v="-7000"/>
    <n v="1695.54"/>
    <n v="-756.96"/>
    <n v="0"/>
    <n v="15.1"/>
    <n v="4227.3599999999997"/>
    <n v="0"/>
    <n v="15.1"/>
    <n v="192989.64"/>
    <m/>
    <n v="5938"/>
  </r>
  <r>
    <x v="4"/>
    <s v="66877"/>
    <s v="WALLAC37"/>
    <x v="2"/>
    <s v="Wallack Family Fund"/>
    <n v="0"/>
    <n v="101972.66"/>
    <n v="-21000"/>
    <n v="1393.43"/>
    <n v="-672.68"/>
    <n v="0"/>
    <n v="12.65"/>
    <n v="6409.13"/>
    <n v="0"/>
    <n v="12.65"/>
    <n v="88115.19"/>
    <m/>
    <n v="7815.21"/>
  </r>
  <r>
    <x v="4"/>
    <s v="66851"/>
    <s v="PORTER29"/>
    <x v="1"/>
    <s v="The Porter Family Donor Advised Fund"/>
    <n v="0"/>
    <n v="6000"/>
    <n v="0"/>
    <n v="113.09"/>
    <n v="-112.5"/>
    <n v="0"/>
    <n v="0.93"/>
    <n v="609.49"/>
    <n v="0.02"/>
    <n v="0.95000000000000007"/>
    <n v="6611.03"/>
    <m/>
    <n v="723.53000000000009"/>
  </r>
  <r>
    <x v="4"/>
    <s v="66850"/>
    <s v="MEYERS19"/>
    <x v="1"/>
    <s v="The Help Someone Fund"/>
    <n v="0"/>
    <n v="7100"/>
    <n v="-2080"/>
    <n v="110.47"/>
    <n v="-112.5"/>
    <n v="0"/>
    <n v="0.92"/>
    <n v="637.36"/>
    <n v="0"/>
    <n v="0.92"/>
    <n v="5656.25"/>
    <m/>
    <n v="748.75"/>
  </r>
  <r>
    <x v="4"/>
    <s v="65383"/>
    <s v="VDOR1"/>
    <x v="3"/>
    <s v="Jewish Community Foundation of Greater Mercer L'Dor V'Dor Fund"/>
    <n v="0"/>
    <n v="20300"/>
    <n v="-1800"/>
    <n v="420.55"/>
    <n v="-153.83000000000001"/>
    <n v="0"/>
    <n v="3.13"/>
    <n v="1991.29"/>
    <n v="0"/>
    <n v="3.13"/>
    <n v="20761.14"/>
    <m/>
    <n v="2414.9700000000003"/>
  </r>
  <r>
    <x v="4"/>
    <s v="65382"/>
    <s v="KRAMER24"/>
    <x v="0"/>
    <s v="JCC of the Delaware Valley - Kramer Fund Restricted"/>
    <n v="0"/>
    <n v="8500"/>
    <n v="0"/>
    <n v="188.33"/>
    <n v="-112.5"/>
    <n v="0"/>
    <n v="1.35"/>
    <n v="815.55"/>
    <n v="0"/>
    <n v="1.35"/>
    <n v="9392.73"/>
    <m/>
    <n v="1005.23"/>
  </r>
  <r>
    <x v="4"/>
    <s v="65381"/>
    <s v="SZWALB1"/>
    <x v="0"/>
    <s v="JCC of the Delaware Valley - Shelly &amp; Ben Szwalbenest Fund"/>
    <n v="0"/>
    <n v="3438"/>
    <n v="0"/>
    <n v="75.42"/>
    <n v="-112.5"/>
    <n v="0"/>
    <n v="0.55000000000000004"/>
    <n v="326.66000000000003"/>
    <n v="0"/>
    <n v="0.55000000000000004"/>
    <n v="3728.13"/>
    <m/>
    <n v="402.63000000000005"/>
  </r>
  <r>
    <x v="4"/>
    <s v="65380"/>
    <s v="COHEN105"/>
    <x v="0"/>
    <s v="JCC of the Delaware Valley - Seymour Cohen Early Childhood Fund"/>
    <n v="0"/>
    <n v="10236"/>
    <n v="0"/>
    <n v="227.02"/>
    <n v="-112.5"/>
    <n v="0"/>
    <n v="1.63"/>
    <n v="983.19"/>
    <n v="0"/>
    <n v="1.63"/>
    <n v="11335.34"/>
    <m/>
    <n v="1211.8400000000001"/>
  </r>
  <r>
    <x v="4"/>
    <s v="65379"/>
    <s v="KRAMER23"/>
    <x v="0"/>
    <s v="JCC of the Delaware Valley - Kramer Fund Interest for Cultural Activities"/>
    <n v="0"/>
    <n v="14635"/>
    <n v="0"/>
    <n v="325.12"/>
    <n v="-114.57"/>
    <n v="0"/>
    <n v="2.34"/>
    <n v="1407.92"/>
    <n v="0"/>
    <n v="2.34"/>
    <n v="16255.81"/>
    <m/>
    <n v="1735.3799999999999"/>
  </r>
  <r>
    <x v="4"/>
    <s v="65162"/>
    <s v="WINKLE17"/>
    <x v="2"/>
    <s v="Cecelia Ruth Winkler M.A.H. &amp; Paul Barry Winkler Ed. D. Endowment - Cafe Europa Fund"/>
    <n v="6229.11"/>
    <n v="1624"/>
    <n v="0"/>
    <n v="175.8"/>
    <n v="-150"/>
    <n v="0"/>
    <n v="1.26"/>
    <n v="886.97"/>
    <n v="0"/>
    <n v="1.26"/>
    <n v="8767.14"/>
    <m/>
    <n v="1064.03"/>
  </r>
  <r>
    <x v="4"/>
    <s v="64981"/>
    <s v="EMES1"/>
    <x v="0"/>
    <s v="Congregation Toras Emes Life &amp; Legacy Endowment Fund"/>
    <n v="5999.43"/>
    <n v="0"/>
    <n v="0"/>
    <n v="136.05000000000001"/>
    <n v="-84.6"/>
    <n v="0"/>
    <n v="0.97"/>
    <n v="720.13"/>
    <n v="0"/>
    <n v="0.97"/>
    <n v="6771.98"/>
    <m/>
    <n v="857.15000000000009"/>
  </r>
  <r>
    <x v="4"/>
    <s v="62677"/>
    <s v="BORKAN1"/>
    <x v="1"/>
    <s v="The Harold Borkan Fund"/>
    <n v="15876.03"/>
    <n v="9235.5"/>
    <n v="0"/>
    <n v="434.99"/>
    <n v="-189.39"/>
    <n v="0"/>
    <n v="2.75"/>
    <n v="2218.15"/>
    <n v="0"/>
    <n v="2.75"/>
    <n v="27578.03"/>
    <m/>
    <n v="2655.8900000000003"/>
  </r>
  <r>
    <x v="4"/>
    <s v="62661"/>
    <s v="HANAHA2"/>
    <x v="0"/>
    <s v="Kehilat HaNahar LIFE &amp; LEGACY Endowment Fund"/>
    <n v="6100.71"/>
    <n v="0"/>
    <n v="0"/>
    <n v="138.72999999999999"/>
    <n v="-63.84"/>
    <n v="0"/>
    <n v="0.98"/>
    <n v="734.53"/>
    <n v="0"/>
    <n v="0.98"/>
    <n v="6911.11"/>
    <m/>
    <n v="874.24"/>
  </r>
  <r>
    <x v="4"/>
    <s v="60352"/>
    <s v="TJCCA1"/>
    <x v="2"/>
    <s v="TJCCA Designated Fund"/>
    <n v="284618.17"/>
    <n v="0"/>
    <n v="0"/>
    <n v="6472.17"/>
    <n v="-2978.05"/>
    <n v="0"/>
    <n v="46.28"/>
    <n v="34267.440000000002"/>
    <n v="0"/>
    <n v="46.28"/>
    <n v="322426.01"/>
    <m/>
    <n v="40785.89"/>
  </r>
  <r>
    <x v="4"/>
    <s v="56537"/>
    <s v="UJFPMB6"/>
    <x v="0"/>
    <s v="JFPMB LIFE &amp; LEGACY Endowment Fund"/>
    <n v="6157.81"/>
    <n v="0"/>
    <n v="0"/>
    <n v="139.62"/>
    <n v="-85.85"/>
    <n v="0"/>
    <n v="1.01"/>
    <n v="739.22"/>
    <n v="0"/>
    <n v="1.01"/>
    <n v="6951.81"/>
    <m/>
    <n v="879.85"/>
  </r>
  <r>
    <x v="4"/>
    <s v="56365"/>
    <s v="FREEMA39"/>
    <x v="1"/>
    <s v="Herbert and Joan Freeman Fund"/>
    <n v="19554.61"/>
    <n v="16938.28"/>
    <n v="-21810"/>
    <n v="353.1"/>
    <n v="-194.1"/>
    <n v="0"/>
    <n v="1.72"/>
    <n v="1832.03"/>
    <n v="0.08"/>
    <n v="1.8"/>
    <n v="16675.72"/>
    <m/>
    <n v="2186.9300000000003"/>
  </r>
  <r>
    <x v="4"/>
    <s v="56131"/>
    <s v="VILKO1"/>
    <x v="1"/>
    <s v="Vilko Fund"/>
    <n v="26084.21"/>
    <n v="50088.35"/>
    <n v="-47700"/>
    <n v="784.75"/>
    <n v="-328.29"/>
    <n v="0"/>
    <n v="7.55"/>
    <n v="4549.26"/>
    <n v="0"/>
    <n v="7.55"/>
    <n v="33485.83"/>
    <m/>
    <n v="5341.56"/>
  </r>
  <r>
    <x v="4"/>
    <s v="56088"/>
    <s v="HEBREW4"/>
    <x v="0"/>
    <s v="Hebrew Free Loan Program Fund"/>
    <n v="10810.86"/>
    <n v="0"/>
    <n v="0"/>
    <n v="245.33"/>
    <n v="-150"/>
    <n v="0"/>
    <n v="1.76"/>
    <n v="1299.23"/>
    <n v="0"/>
    <n v="1.76"/>
    <n v="12207.18"/>
    <m/>
    <n v="1546.32"/>
  </r>
  <r>
    <x v="4"/>
    <s v="56037"/>
    <s v="MEISEL4"/>
    <x v="1"/>
    <s v="The Andrew, Louisa, &amp; Owen Meisel Tzedakah"/>
    <n v="7219.36"/>
    <n v="0"/>
    <n v="0"/>
    <n v="163.15"/>
    <n v="-150"/>
    <n v="0"/>
    <n v="1.1599999999999999"/>
    <n v="864.5"/>
    <n v="0"/>
    <n v="1.1599999999999999"/>
    <n v="8098.17"/>
    <m/>
    <n v="1028.8100000000002"/>
  </r>
  <r>
    <x v="4"/>
    <s v="55648"/>
    <s v="BLICK1"/>
    <x v="1"/>
    <s v="Art &amp; Lauren Blick Donor Advised Fund"/>
    <n v="3003.75"/>
    <n v="10000"/>
    <n v="-5546.57"/>
    <n v="105.9"/>
    <n v="-150"/>
    <n v="0"/>
    <n v="0.25"/>
    <n v="860.93"/>
    <n v="0"/>
    <n v="0.25"/>
    <n v="8274.26"/>
    <m/>
    <n v="967.07999999999993"/>
  </r>
  <r>
    <x v="4"/>
    <s v="55401"/>
    <s v="KATZ110"/>
    <x v="1"/>
    <s v="Katz / Kurinsky Philanthropic Fund"/>
    <n v="4830.41"/>
    <n v="6622.36"/>
    <n v="-5390"/>
    <n v="141.4"/>
    <n v="-150"/>
    <n v="0"/>
    <n v="1.1299999999999999"/>
    <n v="669.54"/>
    <n v="0"/>
    <n v="1.1299999999999999"/>
    <n v="6724.84"/>
    <m/>
    <n v="812.06999999999994"/>
  </r>
  <r>
    <x v="4"/>
    <s v="55245"/>
    <s v="GORDON47"/>
    <x v="1"/>
    <s v="Gordon Community Fund"/>
    <n v="10013.780000000001"/>
    <n v="40431.01"/>
    <n v="-27450"/>
    <n v="481.99"/>
    <n v="-249.24"/>
    <n v="0"/>
    <n v="1.34"/>
    <n v="2523.23"/>
    <n v="0.01"/>
    <n v="1.35"/>
    <n v="25752.12"/>
    <m/>
    <n v="3006.57"/>
  </r>
  <r>
    <x v="4"/>
    <s v="55070"/>
    <s v="KRAKAU1"/>
    <x v="1"/>
    <s v="Krakauer Fund"/>
    <n v="78888.12"/>
    <n v="5000"/>
    <n v="-39340"/>
    <n v="1421.4"/>
    <n v="-703.34"/>
    <n v="0"/>
    <n v="9.73"/>
    <n v="7845.73"/>
    <n v="0"/>
    <n v="9.73"/>
    <n v="53121.64"/>
    <m/>
    <n v="9276.8599999999988"/>
  </r>
  <r>
    <x v="4"/>
    <s v="49564"/>
    <s v="JFCS3"/>
    <x v="0"/>
    <s v="JFCS of Greater Mercer County First LIFE &amp; LEGACY Endowment Fund"/>
    <n v="5835.78"/>
    <n v="100"/>
    <n v="0"/>
    <n v="134.43"/>
    <n v="-61.59"/>
    <n v="0"/>
    <n v="0.97"/>
    <n v="712.46"/>
    <n v="0"/>
    <n v="0.97"/>
    <n v="6722.05"/>
    <m/>
    <n v="847.86000000000013"/>
  </r>
  <r>
    <x v="4"/>
    <s v="49536"/>
    <s v="CHADAS1"/>
    <x v="0"/>
    <s v="Or Chadash LIFE &amp; LEGACY Endowment Fund"/>
    <n v="11655.95"/>
    <n v="3324"/>
    <n v="0"/>
    <n v="266.3"/>
    <n v="-121.96"/>
    <n v="0"/>
    <n v="1.9"/>
    <n v="1270.99"/>
    <n v="0"/>
    <n v="1.9"/>
    <n v="16397.18"/>
    <m/>
    <n v="1539.19"/>
  </r>
  <r>
    <x v="4"/>
    <s v="49525"/>
    <s v="BETHCH1"/>
    <x v="0"/>
    <s v="Beth Chaim LIFE &amp; LEGACY Endowment Fund"/>
    <n v="5793.63"/>
    <n v="0"/>
    <n v="0"/>
    <n v="131.76"/>
    <n v="-60.61"/>
    <n v="0"/>
    <n v="0.94"/>
    <n v="697.49"/>
    <n v="0"/>
    <n v="0.94"/>
    <n v="6563.21"/>
    <m/>
    <n v="830.19"/>
  </r>
  <r>
    <x v="4"/>
    <s v="49524"/>
    <s v="ADATH1"/>
    <x v="0"/>
    <s v="Adath Israel LIFE &amp; LEGACY Endowment Fund"/>
    <n v="5787.28"/>
    <n v="0"/>
    <n v="0"/>
    <n v="131.6"/>
    <n v="-60.56"/>
    <n v="0"/>
    <n v="0.94"/>
    <n v="696.7"/>
    <n v="0"/>
    <n v="0.94"/>
    <n v="6555.96"/>
    <m/>
    <n v="829.24000000000012"/>
  </r>
  <r>
    <x v="4"/>
    <s v="49304"/>
    <s v="JEWISH28"/>
    <x v="0"/>
    <s v="Jewish Center of Princeton Endowment Fund"/>
    <n v="69974.84"/>
    <n v="1180"/>
    <n v="0"/>
    <n v="1610.36"/>
    <n v="-740.33"/>
    <n v="0"/>
    <n v="11.55"/>
    <n v="8516.02"/>
    <n v="0"/>
    <n v="11.55"/>
    <n v="80552.44"/>
    <m/>
    <n v="10137.93"/>
  </r>
  <r>
    <x v="4"/>
    <s v="49253"/>
    <s v="DAVIDS14"/>
    <x v="1"/>
    <s v="The DADA Fund"/>
    <n v="14452.27"/>
    <n v="0"/>
    <n v="-1200"/>
    <n v="312.31"/>
    <n v="-150"/>
    <n v="0"/>
    <n v="2.25"/>
    <n v="1662.73"/>
    <n v="0"/>
    <n v="2.25"/>
    <n v="15079.56"/>
    <m/>
    <n v="1977.29"/>
  </r>
  <r>
    <x v="4"/>
    <s v="49131"/>
    <s v="MICHAE8"/>
    <x v="1"/>
    <s v="Manning &amp; Hoffman-Manning Charitable Fund"/>
    <n v="5897.4"/>
    <n v="0"/>
    <n v="0"/>
    <n v="132.94999999999999"/>
    <n v="-150"/>
    <n v="0"/>
    <n v="0.95"/>
    <n v="704.59"/>
    <n v="0"/>
    <n v="0.95"/>
    <n v="6585.89"/>
    <m/>
    <n v="838.49"/>
  </r>
  <r>
    <x v="4"/>
    <s v="48855"/>
    <s v="MEISEL2"/>
    <x v="1"/>
    <s v="Zachary, Ava &amp; Stella Kovner Meisel Tzedkah Fund"/>
    <n v="6510.52"/>
    <n v="0"/>
    <n v="0"/>
    <n v="146.94999999999999"/>
    <n v="-150"/>
    <n v="0"/>
    <n v="1.04"/>
    <n v="778.8"/>
    <n v="0"/>
    <n v="1.04"/>
    <n v="7287.31"/>
    <m/>
    <n v="926.79"/>
  </r>
  <r>
    <x v="4"/>
    <s v="48533"/>
    <s v="SNOW3"/>
    <x v="1"/>
    <s v="Nagelberg Philanthropic Fund"/>
    <n v="8260.66"/>
    <n v="0"/>
    <n v="0"/>
    <n v="187.02"/>
    <n v="-150"/>
    <n v="0"/>
    <n v="1.33"/>
    <n v="990.56"/>
    <n v="0"/>
    <n v="1.33"/>
    <n v="9289.57"/>
    <m/>
    <n v="1178.9099999999999"/>
  </r>
  <r>
    <x v="4"/>
    <s v="48355"/>
    <s v="FREEMA17"/>
    <x v="1"/>
    <s v="Marsha &amp; Eliot Freeman Family Fund"/>
    <n v="49154.05"/>
    <n v="0"/>
    <n v="0"/>
    <n v="1117.77"/>
    <n v="-514.32000000000005"/>
    <n v="0"/>
    <n v="7.98"/>
    <n v="5918.06"/>
    <n v="0"/>
    <n v="7.98"/>
    <n v="55683.54"/>
    <m/>
    <n v="7043.8099999999995"/>
  </r>
  <r>
    <x v="4"/>
    <s v="48196"/>
    <s v="JEWISH27"/>
    <x v="3"/>
    <s v="Jewish Community Foundation of Greater Mercer LIFE &amp; LEGACY Endowment Fund"/>
    <n v="26839.3"/>
    <n v="16360"/>
    <n v="-445"/>
    <n v="615.16"/>
    <n v="-279.26"/>
    <n v="0"/>
    <n v="4.3499999999999996"/>
    <n v="2588.71"/>
    <n v="0"/>
    <n v="4.3499999999999996"/>
    <n v="45683.26"/>
    <m/>
    <n v="3208.22"/>
  </r>
  <r>
    <x v="4"/>
    <s v="47872"/>
    <s v="WALDOR1"/>
    <x v="1"/>
    <s v="Berman-Waldorf Family Fund"/>
    <n v="2179.0500000000002"/>
    <n v="2061.92"/>
    <n v="-2700"/>
    <n v="43.33"/>
    <n v="-150"/>
    <n v="0"/>
    <n v="0.3"/>
    <n v="264.51"/>
    <n v="0"/>
    <n v="0.3"/>
    <n v="1699.11"/>
    <m/>
    <n v="308.14"/>
  </r>
  <r>
    <x v="4"/>
    <s v="47724"/>
    <s v="SNOW2"/>
    <x v="1"/>
    <s v="Snow - Nagelberg Philanthropic Fund"/>
    <n v="6232.11"/>
    <n v="0"/>
    <n v="0"/>
    <n v="140.6"/>
    <n v="-150"/>
    <n v="0"/>
    <n v="1.01"/>
    <n v="745.02"/>
    <n v="0"/>
    <n v="1.01"/>
    <n v="6968.74"/>
    <m/>
    <n v="886.63"/>
  </r>
  <r>
    <x v="4"/>
    <s v="47350"/>
    <s v="FELDMA18"/>
    <x v="1"/>
    <s v="Dena Feldman Fund for Tzedakah"/>
    <n v="19131.39"/>
    <n v="0"/>
    <n v="-3080"/>
    <n v="407.81"/>
    <n v="-194.93"/>
    <n v="0"/>
    <n v="3.06"/>
    <n v="2208.83"/>
    <n v="0"/>
    <n v="3.06"/>
    <n v="18476.16"/>
    <m/>
    <n v="2619.6999999999998"/>
  </r>
  <r>
    <x v="4"/>
    <s v="47349"/>
    <s v="FRAM1"/>
    <x v="1"/>
    <s v="Harvey &amp; Carine Fram Charitable Gift Fund"/>
    <n v="16684.36"/>
    <n v="0"/>
    <n v="0"/>
    <n v="379.38"/>
    <n v="-174.58"/>
    <n v="0"/>
    <n v="2.71"/>
    <n v="2008.74"/>
    <n v="0"/>
    <n v="2.71"/>
    <n v="18900.61"/>
    <m/>
    <n v="2390.83"/>
  </r>
  <r>
    <x v="4"/>
    <s v="46976"/>
    <s v="DAVIDS12"/>
    <x v="1"/>
    <s v="Davidson Philanthropic Fund"/>
    <n v="19158.939999999999"/>
    <n v="1000"/>
    <n v="-1800"/>
    <n v="429.04"/>
    <n v="-199"/>
    <n v="0"/>
    <n v="3.02"/>
    <n v="2231.63"/>
    <n v="0"/>
    <n v="3.02"/>
    <n v="20823.63"/>
    <m/>
    <n v="2663.69"/>
  </r>
  <r>
    <x v="4"/>
    <s v="46842"/>
    <s v="FELDST4"/>
    <x v="1"/>
    <s v="Lori and Michael Feldstein Fund"/>
    <n v="48682.04"/>
    <n v="28671.63"/>
    <n v="-44975"/>
    <n v="881.45"/>
    <n v="-481.6"/>
    <n v="0"/>
    <n v="3.31"/>
    <n v="5850.82"/>
    <n v="0"/>
    <n v="3.31"/>
    <n v="38632.65"/>
    <m/>
    <n v="6735.58"/>
  </r>
  <r>
    <x v="4"/>
    <s v="46751"/>
    <s v="SHAKUN2"/>
    <x v="2"/>
    <s v="Beth El's Future"/>
    <n v="106366.01"/>
    <n v="0"/>
    <n v="-4081"/>
    <n v="2328.38"/>
    <n v="-1081.19"/>
    <n v="0"/>
    <n v="16.66"/>
    <n v="12430.62"/>
    <n v="0"/>
    <n v="16.66"/>
    <n v="115979.48"/>
    <m/>
    <n v="14775.66"/>
  </r>
  <r>
    <x v="4"/>
    <s v="46630"/>
    <s v="KOHN7"/>
    <x v="0"/>
    <s v="The Richard M. Kohn Endowment Fund"/>
    <n v="706161.43"/>
    <n v="292970"/>
    <n v="-31265"/>
    <n v="15474.7"/>
    <n v="-7145.6"/>
    <n v="0"/>
    <n v="109.86"/>
    <n v="70476.73"/>
    <n v="0"/>
    <n v="109.86"/>
    <n v="1046782.12"/>
    <m/>
    <n v="86061.29"/>
  </r>
  <r>
    <x v="4"/>
    <s v="45234"/>
    <s v="LEIBOW1"/>
    <x v="1"/>
    <s v="Donald S. Leibowitz and Karen Brodsky Philanthropic Fund"/>
    <n v="79717.75"/>
    <n v="5744"/>
    <n v="-12420"/>
    <n v="1687.11"/>
    <n v="-788.81"/>
    <n v="0"/>
    <n v="11.96"/>
    <n v="9070.41"/>
    <n v="0"/>
    <n v="11.96"/>
    <n v="83022.42"/>
    <m/>
    <n v="10769.48"/>
  </r>
  <r>
    <x v="4"/>
    <s v="44365"/>
    <s v="DIAMON3"/>
    <x v="1"/>
    <s v="Rabbi James S. Diamond Memorial Fund"/>
    <n v="14861.87"/>
    <n v="1650"/>
    <n v="-2000"/>
    <n v="343.52"/>
    <n v="-164.65"/>
    <n v="0"/>
    <n v="2.44"/>
    <n v="1846.37"/>
    <n v="0"/>
    <n v="2.44"/>
    <n v="16539.55"/>
    <m/>
    <n v="2192.33"/>
  </r>
  <r>
    <x v="4"/>
    <s v="43836"/>
    <s v="ZLATIN1"/>
    <x v="1"/>
    <s v="Tikkun Olam Fund"/>
    <n v="1554.18"/>
    <n v="9111.15"/>
    <n v="-6050"/>
    <n v="58.68"/>
    <n v="-150"/>
    <n v="0"/>
    <n v="0.23"/>
    <n v="514.17999999999995"/>
    <n v="0"/>
    <n v="0.23"/>
    <n v="5038.42"/>
    <m/>
    <n v="573.08999999999992"/>
  </r>
  <r>
    <x v="4"/>
    <s v="43834"/>
    <s v="GARBER7"/>
    <x v="1"/>
    <s v="Eileen and Robert Garber Family Fund"/>
    <n v="7154.81"/>
    <n v="1500"/>
    <n v="0"/>
    <n v="178.07"/>
    <n v="-150"/>
    <n v="0"/>
    <n v="1.19"/>
    <n v="989.63"/>
    <n v="0"/>
    <n v="1.19"/>
    <n v="9673.7000000000007"/>
    <m/>
    <n v="1168.8900000000001"/>
  </r>
  <r>
    <x v="4"/>
    <s v="42917"/>
    <s v="UJFPMB5"/>
    <x v="0"/>
    <s v="UJFPMB Kravitz"/>
    <n v="103977.84"/>
    <n v="0"/>
    <n v="-5075"/>
    <n v="2252.12"/>
    <n v="-1048.48"/>
    <n v="0"/>
    <n v="16.100000000000001"/>
    <n v="12051.65"/>
    <n v="0"/>
    <n v="16.100000000000001"/>
    <n v="112174.23"/>
    <m/>
    <n v="14319.87"/>
  </r>
  <r>
    <x v="4"/>
    <s v="42559"/>
    <s v="PUNIA1"/>
    <x v="3"/>
    <s v="Renee Punia Fund"/>
    <n v="108074.44"/>
    <n v="0"/>
    <n v="-5275"/>
    <n v="2340.86"/>
    <n v="-1089.79"/>
    <n v="0"/>
    <n v="16.739999999999998"/>
    <n v="12526.38"/>
    <n v="0"/>
    <n v="16.739999999999998"/>
    <n v="116593.63"/>
    <m/>
    <n v="14883.98"/>
  </r>
  <r>
    <x v="4"/>
    <s v="42558"/>
    <s v="KEHILL1"/>
    <x v="3"/>
    <s v="The Kehillah Fund"/>
    <n v="83099.09"/>
    <n v="0"/>
    <n v="-100"/>
    <n v="1899.08"/>
    <n v="0"/>
    <n v="0"/>
    <n v="13.57"/>
    <n v="10048.65"/>
    <n v="0"/>
    <n v="13.57"/>
    <n v="94960.39"/>
    <m/>
    <n v="11961.3"/>
  </r>
  <r>
    <x v="4"/>
    <s v="42557"/>
    <s v="FIF1"/>
    <x v="3"/>
    <s v="Foundation Investment Fund"/>
    <n v="125266.45"/>
    <n v="0"/>
    <n v="-35000"/>
    <n v="2105.42"/>
    <n v="0"/>
    <n v="0"/>
    <n v="14.93"/>
    <n v="12092.73"/>
    <n v="0"/>
    <n v="14.93"/>
    <n v="104479.53"/>
    <m/>
    <n v="14213.08"/>
  </r>
  <r>
    <x v="4"/>
    <s v="42555"/>
    <s v="UJFPMB4"/>
    <x v="0"/>
    <s v="UJFPMB Julius and Dorothy Koppelman Designated Fund"/>
    <n v="471843.95"/>
    <n v="0"/>
    <n v="-54252.31"/>
    <n v="9834.75"/>
    <n v="-4653.78"/>
    <n v="0"/>
    <n v="68.150000000000006"/>
    <n v="51931.76"/>
    <n v="0"/>
    <n v="68.150000000000006"/>
    <n v="474772.52"/>
    <m/>
    <n v="61834.66"/>
  </r>
  <r>
    <x v="4"/>
    <s v="42554"/>
    <s v="UJFPMB3"/>
    <x v="0"/>
    <s v="UJFPMB Shirley Kobak Lion of Judah Endowment Fund"/>
    <n v="85832.29"/>
    <n v="0"/>
    <n v="-4190"/>
    <n v="1859.08"/>
    <n v="-865.49"/>
    <n v="0"/>
    <n v="13.3"/>
    <n v="9948.33"/>
    <n v="0"/>
    <n v="13.3"/>
    <n v="92597.51"/>
    <m/>
    <n v="11820.71"/>
  </r>
  <r>
    <x v="4"/>
    <s v="42553"/>
    <s v="UJFPMB2"/>
    <x v="0"/>
    <s v="UJFPMB Estates Fund"/>
    <n v="47233.05"/>
    <n v="0"/>
    <n v="0"/>
    <n v="1074.05"/>
    <n v="-494.21"/>
    <n v="0"/>
    <n v="7.68"/>
    <n v="5686.77"/>
    <n v="0"/>
    <n v="7.68"/>
    <n v="53507.34"/>
    <m/>
    <n v="6768.5000000000009"/>
  </r>
  <r>
    <x v="4"/>
    <s v="42552"/>
    <s v="SRF1"/>
    <x v="0"/>
    <s v="Soviet Resettlement Fund"/>
    <n v="901"/>
    <n v="0"/>
    <n v="0"/>
    <n v="20.61"/>
    <n v="0"/>
    <n v="0"/>
    <n v="0.14000000000000001"/>
    <n v="108.96"/>
    <n v="0"/>
    <n v="0.14000000000000001"/>
    <n v="1030.71"/>
    <m/>
    <n v="129.70999999999998"/>
  </r>
  <r>
    <x v="4"/>
    <s v="42551"/>
    <s v="PACK1"/>
    <x v="0"/>
    <s v="JFCS Pack Scholarship Fund"/>
    <n v="17948.21"/>
    <n v="0"/>
    <n v="-701"/>
    <n v="392.62"/>
    <n v="-182.35"/>
    <n v="0"/>
    <n v="2.81"/>
    <n v="2096.37"/>
    <n v="0"/>
    <n v="2.81"/>
    <n v="19556.66"/>
    <m/>
    <n v="2491.7999999999997"/>
  </r>
  <r>
    <x v="4"/>
    <s v="42550"/>
    <s v="AHALF1"/>
    <x v="0"/>
    <s v="AHA Sandy Light Fund"/>
    <n v="21140.76"/>
    <n v="1270"/>
    <n v="-814"/>
    <n v="469.99"/>
    <n v="-215.06"/>
    <n v="0"/>
    <n v="3.32"/>
    <n v="2494.27"/>
    <n v="0"/>
    <n v="3.32"/>
    <n v="24349.279999999999"/>
    <m/>
    <n v="2967.5800000000004"/>
  </r>
  <r>
    <x v="4"/>
    <s v="42549"/>
    <s v="SILK1"/>
    <x v="1"/>
    <s v="Allen and Judith Silk Philanthropic Fund"/>
    <n v="23559.06"/>
    <n v="10000"/>
    <n v="-2285"/>
    <n v="552.35"/>
    <n v="-235.59"/>
    <n v="0"/>
    <n v="3.5"/>
    <n v="2826.76"/>
    <n v="0"/>
    <n v="3.5"/>
    <n v="34421.08"/>
    <m/>
    <n v="3382.61"/>
  </r>
  <r>
    <x v="4"/>
    <s v="42548"/>
    <s v="ROJER2"/>
    <x v="2"/>
    <s v="Goldie B. Rojer Hunger Relief Fund"/>
    <n v="50790.12"/>
    <n v="0"/>
    <n v="-1983"/>
    <n v="1111.08"/>
    <n v="-516.01"/>
    <n v="0"/>
    <n v="7.94"/>
    <n v="5932.48"/>
    <n v="0"/>
    <n v="7.94"/>
    <n v="55342.61"/>
    <m/>
    <n v="7051.4999999999991"/>
  </r>
  <r>
    <x v="4"/>
    <s v="42547"/>
    <s v="BERKOW5"/>
    <x v="2"/>
    <s v="Anne and Bernard Berkowitz Legacy Fund"/>
    <n v="11613.97"/>
    <n v="0"/>
    <n v="-568"/>
    <n v="251.13"/>
    <n v="-150"/>
    <n v="0"/>
    <n v="1.8"/>
    <n v="1343.91"/>
    <n v="0"/>
    <n v="1.8"/>
    <n v="12492.81"/>
    <m/>
    <n v="1596.84"/>
  </r>
  <r>
    <x v="4"/>
    <s v="42546"/>
    <s v="YSF1"/>
    <x v="4"/>
    <s v="Youth Scholarship Fund"/>
    <n v="6901.01"/>
    <n v="610"/>
    <n v="-1500"/>
    <n v="128.31"/>
    <n v="0"/>
    <n v="0"/>
    <n v="0.89"/>
    <n v="697.6"/>
    <n v="0"/>
    <n v="0.89"/>
    <n v="6837.81"/>
    <m/>
    <n v="826.80000000000007"/>
  </r>
  <r>
    <x v="4"/>
    <s v="42545"/>
    <s v="WOLLIN1"/>
    <x v="4"/>
    <s v="Wollin Scholarship Fund"/>
    <n v="22358.43"/>
    <n v="0"/>
    <n v="-5000"/>
    <n v="400.84"/>
    <n v="-195.14"/>
    <n v="0"/>
    <n v="2.84"/>
    <n v="2240.75"/>
    <n v="0"/>
    <n v="2.84"/>
    <n v="19807.72"/>
    <m/>
    <n v="2644.4300000000003"/>
  </r>
  <r>
    <x v="4"/>
    <s v="42544"/>
    <s v="UJFPMB1"/>
    <x v="4"/>
    <s v="UJFPMB Income Fund"/>
    <n v="10152.81"/>
    <n v="0"/>
    <n v="-397"/>
    <n v="221.46"/>
    <n v="-150"/>
    <n v="0"/>
    <n v="1.58"/>
    <n v="1182.8900000000001"/>
    <n v="0"/>
    <n v="1.58"/>
    <n v="11011.74"/>
    <m/>
    <n v="1405.93"/>
  </r>
  <r>
    <x v="4"/>
    <s v="42543"/>
    <s v="SIF1"/>
    <x v="4"/>
    <s v="Scholarship Investment Fund"/>
    <n v="24961.040000000001"/>
    <n v="0"/>
    <n v="-765"/>
    <n v="551.14"/>
    <n v="-255.24"/>
    <n v="0"/>
    <n v="3.94"/>
    <n v="2936.31"/>
    <n v="0"/>
    <n v="3.94"/>
    <n v="27432.19"/>
    <m/>
    <n v="3491.39"/>
  </r>
  <r>
    <x v="4"/>
    <s v="42542"/>
    <s v="OFFNER1"/>
    <x v="2"/>
    <s v="Offner JFCS Senior Services Fund"/>
    <n v="15303.55"/>
    <n v="0"/>
    <n v="-598"/>
    <n v="334.75"/>
    <n v="-155.47999999999999"/>
    <n v="0"/>
    <n v="2.4"/>
    <n v="1787.48"/>
    <n v="0"/>
    <n v="2.4"/>
    <n v="16674.7"/>
    <m/>
    <n v="2124.63"/>
  </r>
  <r>
    <x v="4"/>
    <s v="42541"/>
    <s v="KLATZK2"/>
    <x v="4"/>
    <s v="Clive B. Klatzkin PACE Designated Fund"/>
    <n v="45563.88"/>
    <n v="0"/>
    <n v="0"/>
    <n v="1036.1199999999999"/>
    <n v="-476.75"/>
    <n v="0"/>
    <n v="7.41"/>
    <n v="5485.73"/>
    <n v="0"/>
    <n v="7.41"/>
    <n v="51616.39"/>
    <m/>
    <n v="6529.2599999999993"/>
  </r>
  <r>
    <x v="4"/>
    <s v="42540"/>
    <s v="KELSEY2"/>
    <x v="4"/>
    <s v="Harold H. Kelsey Greenwood House Fund"/>
    <n v="92456.51"/>
    <n v="0"/>
    <n v="-8052"/>
    <n v="1924.26"/>
    <n v="-904.77"/>
    <n v="0"/>
    <n v="13.75"/>
    <n v="10390.49"/>
    <n v="0"/>
    <n v="13.75"/>
    <n v="95828.24"/>
    <m/>
    <n v="12328.5"/>
  </r>
  <r>
    <x v="4"/>
    <s v="42539"/>
    <s v="KAHN7"/>
    <x v="4"/>
    <s v="Albert B. Kahn Scholarship Fund"/>
    <n v="132096.37"/>
    <n v="0"/>
    <n v="-4111"/>
    <n v="2915.42"/>
    <n v="-1350.26"/>
    <n v="0"/>
    <n v="20.82"/>
    <n v="15533.22"/>
    <n v="0"/>
    <n v="20.82"/>
    <n v="145104.57"/>
    <m/>
    <n v="18469.46"/>
  </r>
  <r>
    <x v="4"/>
    <s v="42537"/>
    <s v="GHIF1"/>
    <x v="4"/>
    <s v="Greenwood House Income Fund"/>
    <n v="10673.77"/>
    <n v="0"/>
    <n v="-417"/>
    <n v="232.94"/>
    <n v="-150"/>
    <n v="0"/>
    <n v="1.67"/>
    <n v="1244.0899999999999"/>
    <n v="0"/>
    <n v="1.67"/>
    <n v="11585.47"/>
    <m/>
    <n v="1478.7"/>
  </r>
  <r>
    <x v="4"/>
    <s v="42536"/>
    <s v="GLAZER2"/>
    <x v="4"/>
    <s v="Henry and Geralyn Glazer Greenwood House Scholarship Fund"/>
    <n v="34998.28"/>
    <n v="0"/>
    <n v="-1400"/>
    <n v="766.66"/>
    <n v="-355.54"/>
    <n v="0"/>
    <n v="5.47"/>
    <n v="4115.29"/>
    <n v="0"/>
    <n v="5.47"/>
    <n v="38130.160000000003"/>
    <m/>
    <n v="4887.42"/>
  </r>
  <r>
    <x v="4"/>
    <s v="42535"/>
    <s v="GARB3"/>
    <x v="4"/>
    <s v="Benjamin Garb Scholarship Fund"/>
    <n v="35642.120000000003"/>
    <n v="0"/>
    <n v="-1099"/>
    <n v="786.78"/>
    <n v="-364.41"/>
    <n v="0"/>
    <n v="5.62"/>
    <n v="4192.01"/>
    <n v="0"/>
    <n v="5.62"/>
    <n v="39163.120000000003"/>
    <m/>
    <n v="4984.41"/>
  </r>
  <r>
    <x v="4"/>
    <s v="42534"/>
    <s v="EDINIT1"/>
    <x v="4"/>
    <s v="Educational Initiative Fund"/>
    <n v="97214.15"/>
    <n v="0"/>
    <n v="-4000"/>
    <n v="2122.12"/>
    <n v="-986.07"/>
    <n v="0"/>
    <n v="15.17"/>
    <n v="11336.22"/>
    <n v="0"/>
    <n v="15.17"/>
    <n v="105701.59"/>
    <m/>
    <n v="13473.51"/>
  </r>
  <r>
    <x v="4"/>
    <s v="42533"/>
    <s v="DENBO4"/>
    <x v="4"/>
    <s v="Alexander &amp; Syble G. Denbo Penn State/Dickinson School of Law Fund"/>
    <n v="188025.68"/>
    <n v="0"/>
    <n v="-16376"/>
    <n v="3919.93"/>
    <n v="-1840.54"/>
    <n v="0"/>
    <n v="27.98"/>
    <n v="21203.1"/>
    <n v="0"/>
    <n v="27.98"/>
    <n v="194960.15"/>
    <m/>
    <n v="25151.01"/>
  </r>
  <r>
    <x v="4"/>
    <s v="42532"/>
    <s v="DENBO3"/>
    <x v="2"/>
    <s v="Alexander &amp; Syble G. Denbo JFCS Fund"/>
    <n v="1358341.62"/>
    <n v="0"/>
    <n v="-80280.34"/>
    <n v="29432.16"/>
    <n v="-12797.99"/>
    <n v="0"/>
    <n v="211.92"/>
    <n v="156939.01"/>
    <n v="0"/>
    <n v="211.92"/>
    <n v="1451846.38"/>
    <m/>
    <n v="186583.09000000003"/>
  </r>
  <r>
    <x v="4"/>
    <s v="42531"/>
    <s v="DENBO2"/>
    <x v="2"/>
    <s v="Alexander &amp; Syble G. Denbo Greenwood House Fund"/>
    <n v="1082760.6299999999"/>
    <n v="0"/>
    <n v="-74461.38"/>
    <n v="22976.16"/>
    <n v="-10563.05"/>
    <n v="0"/>
    <n v="164.25"/>
    <n v="123519.02"/>
    <n v="0"/>
    <n v="164.25"/>
    <n v="1144395.6299999999"/>
    <m/>
    <n v="146659.43"/>
  </r>
  <r>
    <x v="4"/>
    <s v="42530"/>
    <s v="DENBO1"/>
    <x v="4"/>
    <s v="Alexander Denbo School Fund"/>
    <n v="20370.78"/>
    <n v="0"/>
    <n v="0"/>
    <n v="463.21"/>
    <n v="-213.15"/>
    <n v="0"/>
    <n v="3.32"/>
    <n v="2452.54"/>
    <n v="0"/>
    <n v="3.32"/>
    <n v="23076.7"/>
    <m/>
    <n v="2919.07"/>
  </r>
  <r>
    <x v="4"/>
    <s v="42529"/>
    <s v="AHAPIF1"/>
    <x v="4"/>
    <s v="AHA Pooled Special Funds"/>
    <n v="2513.63"/>
    <n v="0"/>
    <n v="0"/>
    <n v="57.52"/>
    <n v="0"/>
    <n v="0"/>
    <n v="0.4"/>
    <n v="304.12"/>
    <n v="0"/>
    <n v="0.4"/>
    <n v="2875.67"/>
    <m/>
    <n v="362.03999999999996"/>
  </r>
  <r>
    <x v="4"/>
    <s v="42528"/>
    <s v="ZELTT1"/>
    <x v="1"/>
    <s v="Harold &amp; Marilyn Zeltt Charitable Fund"/>
    <n v="4409.6499999999996"/>
    <n v="0"/>
    <n v="-1500"/>
    <n v="69.03"/>
    <n v="-150"/>
    <n v="0"/>
    <n v="0.48"/>
    <n v="392.01"/>
    <n v="0"/>
    <n v="0.48"/>
    <n v="3221.17"/>
    <m/>
    <n v="461.52"/>
  </r>
  <r>
    <x v="4"/>
    <s v="42527"/>
    <s v="WISOTS1"/>
    <x v="1"/>
    <s v="Wisotsky Family Philanthropic Fund"/>
    <n v="2439.64"/>
    <n v="0"/>
    <n v="-2000"/>
    <n v="19.93"/>
    <n v="-150"/>
    <n v="0"/>
    <n v="7.0000000000000007E-2"/>
    <n v="99.21"/>
    <n v="0"/>
    <n v="7.0000000000000007E-2"/>
    <n v="408.85"/>
    <m/>
    <n v="119.20999999999998"/>
  </r>
  <r>
    <x v="4"/>
    <s v="42525"/>
    <s v="URKEN1"/>
    <x v="1"/>
    <s v="Ernestine and Karl Urken Philanthropic Fund"/>
    <n v="14605.51"/>
    <n v="0"/>
    <n v="0"/>
    <n v="332.05"/>
    <n v="-153.80000000000001"/>
    <n v="0"/>
    <n v="2.38"/>
    <n v="1758.38"/>
    <n v="0"/>
    <n v="2.38"/>
    <n v="16544.52"/>
    <m/>
    <n v="2092.8100000000004"/>
  </r>
  <r>
    <x v="4"/>
    <s v="42524"/>
    <s v="SUCHAR1"/>
    <x v="1"/>
    <s v="Sucharow Family Charitable Fund"/>
    <n v="304295.78000000003"/>
    <n v="504681.43"/>
    <n v="-199000"/>
    <n v="11080.94"/>
    <n v="-4998.8500000000004"/>
    <n v="0"/>
    <n v="107.2"/>
    <n v="37375.699999999997"/>
    <n v="0"/>
    <n v="107.2"/>
    <n v="653542.19999999995"/>
    <m/>
    <n v="48563.839999999997"/>
  </r>
  <r>
    <x v="4"/>
    <s v="42523"/>
    <s v="STIX1"/>
    <x v="1"/>
    <s v="Stix Charitable Fund"/>
    <n v="175231.51"/>
    <n v="0"/>
    <n v="0"/>
    <n v="3984.74"/>
    <n v="-1833.5"/>
    <n v="0"/>
    <n v="28.46"/>
    <n v="21097.58"/>
    <n v="0.04"/>
    <n v="28.5"/>
    <n v="198508.83"/>
    <m/>
    <n v="25110.82"/>
  </r>
  <r>
    <x v="4"/>
    <s v="42522"/>
    <s v="SMUKLE3"/>
    <x v="1"/>
    <s v="Smukler Fund"/>
    <n v="795466.19"/>
    <n v="0"/>
    <n v="-5000"/>
    <n v="18051.310000000001"/>
    <n v="-8307.7999999999993"/>
    <n v="0"/>
    <n v="129.05000000000001"/>
    <n v="95582.16"/>
    <n v="0"/>
    <n v="129.05000000000001"/>
    <n v="895920.91"/>
    <m/>
    <n v="113762.52"/>
  </r>
  <r>
    <x v="4"/>
    <s v="42520"/>
    <s v="SHECHT5"/>
    <x v="1"/>
    <s v="Shechtel Children's Fund"/>
    <n v="6898.99"/>
    <n v="0"/>
    <n v="-2500"/>
    <n v="110.54"/>
    <n v="-150"/>
    <n v="0"/>
    <n v="0.73"/>
    <n v="583.19000000000005"/>
    <n v="0"/>
    <n v="0.73"/>
    <n v="4943.45"/>
    <m/>
    <n v="694.46"/>
  </r>
  <r>
    <x v="4"/>
    <s v="42519"/>
    <s v="SCHWAR33"/>
    <x v="1"/>
    <s v="Judith &amp; Martin Schwartz Family Charitable Trust"/>
    <n v="102127.72"/>
    <n v="26907.5"/>
    <n v="-19160"/>
    <n v="2345.19"/>
    <n v="-1070.17"/>
    <n v="0"/>
    <n v="15.79"/>
    <n v="12069"/>
    <n v="0"/>
    <n v="15.79"/>
    <n v="123235.03"/>
    <m/>
    <n v="14429.980000000001"/>
  </r>
  <r>
    <x v="4"/>
    <s v="42518"/>
    <s v="SCHNUR3"/>
    <x v="1"/>
    <s v="Schnur Family Philanthropic Fund"/>
    <n v="116872.72"/>
    <n v="0"/>
    <n v="-5000"/>
    <n v="2608.79"/>
    <n v="-1210.3"/>
    <n v="0"/>
    <n v="18.920000000000002"/>
    <n v="13923.9"/>
    <n v="0"/>
    <n v="18.920000000000002"/>
    <n v="127214.03"/>
    <m/>
    <n v="16551.609999999997"/>
  </r>
  <r>
    <x v="4"/>
    <s v="42516"/>
    <s v="SHAKUN1"/>
    <x v="1"/>
    <s v="Shakun &amp; Devery Family Fund"/>
    <n v="11480.02"/>
    <n v="40537.620000000003"/>
    <n v="-21700"/>
    <n v="474.26"/>
    <n v="-210.32"/>
    <n v="0"/>
    <n v="1.08"/>
    <n v="2026.07"/>
    <n v="0"/>
    <n v="1.08"/>
    <n v="32608.73"/>
    <m/>
    <n v="2501.41"/>
  </r>
  <r>
    <x v="4"/>
    <s v="42515"/>
    <s v="SCHAEF7"/>
    <x v="1"/>
    <s v="Schaefer Family Philanthropic Fund"/>
    <n v="96614.69"/>
    <n v="42971.58"/>
    <n v="-56680"/>
    <n v="1815.1"/>
    <n v="-979.4"/>
    <n v="0"/>
    <n v="11.7"/>
    <n v="10702.44"/>
    <n v="0"/>
    <n v="11.7"/>
    <n v="94456.11"/>
    <m/>
    <n v="12529.240000000002"/>
  </r>
  <r>
    <x v="4"/>
    <s v="42514"/>
    <s v="KOHN6"/>
    <x v="2"/>
    <s v="RMK PACE Fund"/>
    <n v="92768.1"/>
    <n v="0"/>
    <n v="-4528"/>
    <n v="2009.3"/>
    <n v="-935.44"/>
    <n v="0"/>
    <n v="14.37"/>
    <n v="10752.34"/>
    <n v="0"/>
    <n v="14.37"/>
    <n v="100080.67"/>
    <m/>
    <n v="12776.01"/>
  </r>
  <r>
    <x v="4"/>
    <s v="42513"/>
    <s v="PIMLEY1"/>
    <x v="1"/>
    <s v="Oliver Jenson Pimley Tzedakah Fund"/>
    <n v="8090.76"/>
    <n v="0"/>
    <n v="0"/>
    <n v="183.12"/>
    <n v="-150"/>
    <n v="0"/>
    <n v="1.32"/>
    <n v="970.05"/>
    <n v="0"/>
    <n v="1.32"/>
    <n v="9095.25"/>
    <m/>
    <n v="1154.49"/>
  </r>
  <r>
    <x v="4"/>
    <s v="42512"/>
    <s v="PERLMA8"/>
    <x v="1"/>
    <s v="Bonnie and Richard Perlman Philanthropic Fund"/>
    <n v="8766.74"/>
    <n v="0"/>
    <n v="-750"/>
    <n v="185.54"/>
    <n v="-150"/>
    <n v="0"/>
    <n v="1.31"/>
    <n v="968.13"/>
    <n v="0"/>
    <n v="1.31"/>
    <n v="9021.7199999999993"/>
    <m/>
    <n v="1154.98"/>
  </r>
  <r>
    <x v="4"/>
    <s v="42511"/>
    <s v="PERLMA7"/>
    <x v="1"/>
    <s v="B. Perlman Family Charitable Fund"/>
    <n v="66.94"/>
    <n v="10000"/>
    <n v="-6650"/>
    <n v="116.75"/>
    <n v="-150"/>
    <n v="0"/>
    <n v="0.91"/>
    <n v="486.12"/>
    <n v="0"/>
    <n v="0.91"/>
    <n v="3870.72"/>
    <m/>
    <n v="603.78"/>
  </r>
  <r>
    <x v="4"/>
    <s v="42510"/>
    <s v="NEUMAN3"/>
    <x v="1"/>
    <s v="Jerry Neumann &amp; Naomi Richman Philanthropic Fund"/>
    <n v="89504.47"/>
    <n v="30203.119999999999"/>
    <n v="-10050"/>
    <n v="2200.63"/>
    <n v="-1040.77"/>
    <n v="0"/>
    <n v="14.09"/>
    <n v="12751.48"/>
    <n v="0"/>
    <n v="14.09"/>
    <n v="123583.02"/>
    <m/>
    <n v="14966.2"/>
  </r>
  <r>
    <x v="4"/>
    <s v="42509"/>
    <s v="MILLER147"/>
    <x v="1"/>
    <s v="Sue Ellen and David H. Miller Family Charitable Fund"/>
    <n v="14222.65"/>
    <n v="0"/>
    <n v="0"/>
    <n v="323.36"/>
    <n v="-151.58000000000001"/>
    <n v="0"/>
    <n v="2.31"/>
    <n v="1712.18"/>
    <n v="0"/>
    <n v="2.31"/>
    <n v="16108.92"/>
    <m/>
    <n v="2037.85"/>
  </r>
  <r>
    <x v="4"/>
    <s v="42508"/>
    <s v="KLATZK1"/>
    <x v="1"/>
    <s v="Clive and Audrey Klatzkin Family Philanthropic Fund"/>
    <n v="54839.4"/>
    <n v="0"/>
    <n v="-2000"/>
    <n v="1225.72"/>
    <n v="-568.6"/>
    <n v="0"/>
    <n v="8.8699999999999992"/>
    <n v="6472.96"/>
    <n v="0"/>
    <n v="8.8699999999999992"/>
    <n v="59978.35"/>
    <m/>
    <n v="7707.55"/>
  </r>
  <r>
    <x v="4"/>
    <s v="42507"/>
    <s v="KALISH2"/>
    <x v="1"/>
    <s v="Peggy and Errol Kalish Philanthropic Fund"/>
    <n v="72057.240000000005"/>
    <n v="0"/>
    <n v="0"/>
    <n v="1638.54"/>
    <n v="-753.95"/>
    <n v="0"/>
    <n v="11.72"/>
    <n v="8675.5300000000007"/>
    <n v="0"/>
    <n v="11.72"/>
    <n v="81629.08"/>
    <m/>
    <n v="10325.789999999999"/>
  </r>
  <r>
    <x v="4"/>
    <s v="42506"/>
    <s v="KAHN6"/>
    <x v="1"/>
    <s v="Kahn Family Philanthropic Fund"/>
    <n v="9249.83"/>
    <n v="15075.57"/>
    <n v="-11450"/>
    <n v="211.77"/>
    <n v="-150"/>
    <n v="0"/>
    <n v="0.24"/>
    <n v="1426.1"/>
    <n v="0"/>
    <n v="0.24"/>
    <n v="14363.51"/>
    <m/>
    <n v="1638.11"/>
  </r>
  <r>
    <x v="4"/>
    <s v="42505"/>
    <s v="HARRIS51"/>
    <x v="1"/>
    <s v="Sara Jane and Morris Harris Philanthropic Fund"/>
    <n v="90106.35"/>
    <n v="0"/>
    <n v="0"/>
    <n v="2048.9899999999998"/>
    <n v="-942.81"/>
    <n v="0"/>
    <n v="14.66"/>
    <n v="10848.62"/>
    <n v="0"/>
    <n v="14.66"/>
    <n v="102075.81"/>
    <m/>
    <n v="12912.27"/>
  </r>
  <r>
    <x v="4"/>
    <s v="42504"/>
    <s v="GOODMA11"/>
    <x v="1"/>
    <s v="Goodman Family Philanthropic Fund"/>
    <n v="33297.300000000003"/>
    <n v="0"/>
    <n v="0"/>
    <n v="757.16"/>
    <n v="-348.4"/>
    <n v="0"/>
    <n v="5.41"/>
    <n v="4008.93"/>
    <n v="0"/>
    <n v="5.41"/>
    <n v="37720.400000000001"/>
    <m/>
    <n v="4771.5"/>
  </r>
  <r>
    <x v="4"/>
    <s v="42503"/>
    <s v="GOLDMA21"/>
    <x v="1"/>
    <s v="Debby and Peter Goldman Fund"/>
    <n v="168136.19"/>
    <n v="0"/>
    <n v="0"/>
    <n v="3823.38"/>
    <n v="-1759.27"/>
    <n v="0"/>
    <n v="27.35"/>
    <n v="20243.25"/>
    <n v="0"/>
    <n v="27.35"/>
    <n v="190470.9"/>
    <m/>
    <n v="24093.98"/>
  </r>
  <r>
    <x v="4"/>
    <s v="42502"/>
    <s v="GLAZER1"/>
    <x v="1"/>
    <s v="Richard M. Glazer Philanthropic Fund"/>
    <n v="20805.7"/>
    <n v="0"/>
    <n v="0"/>
    <n v="473.09"/>
    <n v="-217.69"/>
    <n v="0"/>
    <n v="3.38"/>
    <n v="2504.92"/>
    <n v="0"/>
    <n v="3.38"/>
    <n v="23569.4"/>
    <m/>
    <n v="2981.3900000000003"/>
  </r>
  <r>
    <x v="4"/>
    <s v="42499"/>
    <s v="FELDMA13"/>
    <x v="1"/>
    <s v="Talia Feldman Fund for Tzedakah"/>
    <n v="12937.93"/>
    <n v="0"/>
    <n v="-2640"/>
    <n v="250.27"/>
    <n v="-150"/>
    <n v="0"/>
    <n v="1.7"/>
    <n v="1322.56"/>
    <n v="0"/>
    <n v="1.7"/>
    <n v="11722.46"/>
    <m/>
    <n v="1574.53"/>
  </r>
  <r>
    <x v="4"/>
    <s v="42498"/>
    <s v="FANNIN3"/>
    <x v="1"/>
    <s v="Lillian and Arthur Fanning Memorial Fund"/>
    <n v="48077.86"/>
    <n v="0"/>
    <n v="-5400"/>
    <n v="1040.51"/>
    <n v="-489.47"/>
    <n v="0"/>
    <n v="7.72"/>
    <n v="5629.47"/>
    <n v="0"/>
    <n v="7.72"/>
    <n v="48866.09"/>
    <m/>
    <n v="6677.7000000000007"/>
  </r>
  <r>
    <x v="4"/>
    <s v="42497"/>
    <s v="FAMILA1"/>
    <x v="1"/>
    <s v="Rosalind &quot;Mimi&quot; and Aaron &quot;Poppy&quot; Familant Fund"/>
    <n v="17010.39"/>
    <n v="0"/>
    <n v="-500"/>
    <n v="377.75"/>
    <n v="-174.1"/>
    <n v="0"/>
    <n v="2.69"/>
    <n v="1999.72"/>
    <n v="0"/>
    <n v="2.69"/>
    <n v="18716.45"/>
    <m/>
    <n v="2380.1600000000003"/>
  </r>
  <r>
    <x v="4"/>
    <s v="42496"/>
    <s v="ENTIN1"/>
    <x v="1"/>
    <s v="Sadie and Leon Entin Memorial Fund"/>
    <n v="9020.59"/>
    <n v="0"/>
    <n v="-500"/>
    <n v="193.92"/>
    <n v="-150"/>
    <n v="0"/>
    <n v="1.39"/>
    <n v="1047.1500000000001"/>
    <n v="0"/>
    <n v="1.39"/>
    <n v="9613.0499999999993"/>
    <m/>
    <n v="1242.4600000000003"/>
  </r>
  <r>
    <x v="4"/>
    <s v="42495"/>
    <s v="EGGER2"/>
    <x v="1"/>
    <s v="Audrey and David Egger Charitable Fund"/>
    <n v="30173.11"/>
    <n v="0"/>
    <n v="-17500"/>
    <n v="405.51"/>
    <n v="-228.66"/>
    <n v="0"/>
    <n v="2.16"/>
    <n v="2118.9"/>
    <n v="0"/>
    <n v="2.16"/>
    <n v="14971.02"/>
    <m/>
    <n v="2526.5699999999997"/>
  </r>
  <r>
    <x v="4"/>
    <s v="42494"/>
    <s v="COHEN57"/>
    <x v="1"/>
    <s v="Janet and Howard Cohen Philanthropic Fund"/>
    <n v="42294.720000000001"/>
    <n v="0"/>
    <n v="0"/>
    <n v="961.77"/>
    <n v="-442.55"/>
    <n v="0"/>
    <n v="6.88"/>
    <n v="5092.2"/>
    <n v="0"/>
    <n v="6.88"/>
    <n v="47913.02"/>
    <m/>
    <n v="6060.8499999999995"/>
  </r>
  <r>
    <x v="4"/>
    <s v="42493"/>
    <s v="BURNS15"/>
    <x v="1"/>
    <s v="Joseph Burns Fund"/>
    <n v="12438.05"/>
    <n v="2500"/>
    <n v="0"/>
    <n v="309.81"/>
    <n v="-153.29"/>
    <n v="0"/>
    <n v="2.0699999999999998"/>
    <n v="1717.37"/>
    <n v="0"/>
    <n v="2.0699999999999998"/>
    <n v="16814.009999999998"/>
    <m/>
    <n v="2029.2499999999998"/>
  </r>
  <r>
    <x v="4"/>
    <s v="42492"/>
    <s v="BERMAN14"/>
    <x v="1"/>
    <s v="Ronald and Marie Berman Philanthropic Fund"/>
    <n v="18579.71"/>
    <n v="0"/>
    <n v="-400"/>
    <n v="416.61"/>
    <n v="-192.36"/>
    <n v="0"/>
    <n v="2.95"/>
    <n v="2209.08"/>
    <n v="0"/>
    <n v="2.95"/>
    <n v="20615.990000000002"/>
    <m/>
    <n v="2628.64"/>
  </r>
  <r>
    <x v="4"/>
    <s v="42491"/>
    <s v="BERGER10"/>
    <x v="1"/>
    <s v="Samuel S. and Regina Berger Charitable Fund"/>
    <n v="10240.469999999999"/>
    <n v="0"/>
    <n v="0"/>
    <n v="232.25"/>
    <n v="-150"/>
    <n v="0"/>
    <n v="1.67"/>
    <n v="1230.24"/>
    <n v="0"/>
    <n v="1.67"/>
    <n v="11554.63"/>
    <m/>
    <n v="1464.16"/>
  </r>
  <r>
    <x v="4"/>
    <s v="42490"/>
    <s v="AXELRO4"/>
    <x v="1"/>
    <s v="Axelrod Family Fund"/>
    <n v="65482.16"/>
    <n v="0"/>
    <n v="-10900"/>
    <n v="1314.92"/>
    <n v="-618.13"/>
    <n v="0"/>
    <n v="9.3699999999999992"/>
    <n v="7005.53"/>
    <n v="0"/>
    <n v="9.3699999999999992"/>
    <n v="62293.85"/>
    <m/>
    <n v="8329.8200000000015"/>
  </r>
  <r>
    <x v="4"/>
    <s v="42489"/>
    <s v="APPLES1"/>
    <x v="1"/>
    <s v="Louis Applestein Memorial Fund"/>
    <n v="24593.31"/>
    <n v="0"/>
    <n v="0"/>
    <n v="559.21"/>
    <n v="-257.33"/>
    <n v="0"/>
    <n v="3.99"/>
    <n v="2960.94"/>
    <n v="0"/>
    <n v="3.99"/>
    <n v="27860.12"/>
    <m/>
    <n v="3524.14"/>
  </r>
  <r>
    <x v="4"/>
    <s v="42488"/>
    <s v="ANSHEN1"/>
    <x v="1"/>
    <s v="Rose Perlman Anshen and Harold Anshen Memorial Fund"/>
    <n v="27715.9"/>
    <n v="0"/>
    <n v="-2000"/>
    <n v="595.58000000000004"/>
    <n v="-279.61"/>
    <n v="0"/>
    <n v="4.2"/>
    <n v="3167.81"/>
    <n v="0"/>
    <n v="4.2"/>
    <n v="29203.88"/>
    <m/>
    <n v="3767.5899999999997"/>
  </r>
  <r>
    <x v="4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5"/>
    <s v="88609"/>
    <s v="TEMPLE47"/>
    <x v="0"/>
    <s v="Temple Beth-El's Capital Reserve Fund"/>
    <n v="0"/>
    <n v="106059.47"/>
    <n v="0"/>
    <n v="552.54"/>
    <n v="0"/>
    <n v="0"/>
    <n v="0"/>
    <n v="-2064.1799999999998"/>
    <n v="0"/>
    <n v="0"/>
    <n v="104547.83"/>
    <m/>
    <n v="-1511.6399999999999"/>
  </r>
  <r>
    <x v="5"/>
    <s v="80039"/>
    <s v="SARIF1"/>
    <x v="1"/>
    <s v="Sari Feldman Charitable Fund"/>
    <n v="0"/>
    <n v="4500"/>
    <n v="0"/>
    <n v="46.67"/>
    <n v="-37.5"/>
    <n v="0"/>
    <n v="0.26"/>
    <n v="-167.02"/>
    <n v="-0.19"/>
    <n v="7.0000000000000007E-2"/>
    <n v="4342.22"/>
    <m/>
    <n v="-120.28000000000002"/>
  </r>
  <r>
    <x v="5"/>
    <s v="79952"/>
    <s v="ALPERI10"/>
    <x v="1"/>
    <s v="Alperin-Sheriff Family Fund"/>
    <n v="0"/>
    <n v="26000"/>
    <n v="0"/>
    <n v="218.51"/>
    <n v="-37.5"/>
    <n v="0"/>
    <n v="0.8"/>
    <n v="-856.71"/>
    <n v="-0.55000000000000004"/>
    <n v="0.25"/>
    <n v="25324.55"/>
    <m/>
    <n v="-637.95000000000005"/>
  </r>
  <r>
    <x v="5"/>
    <s v="79950"/>
    <s v="GLUCK13"/>
    <x v="1"/>
    <s v="Rabbi Arnold S. Gluck and Sarah R. Gluck Family Fund"/>
    <n v="0"/>
    <n v="10473"/>
    <n v="-2600"/>
    <n v="94.56"/>
    <n v="-75"/>
    <n v="0"/>
    <n v="61.35"/>
    <n v="-289.45999999999998"/>
    <n v="-0.31"/>
    <n v="61.04"/>
    <n v="7664.14"/>
    <m/>
    <n v="-133.85999999999999"/>
  </r>
  <r>
    <x v="5"/>
    <s v="73981"/>
    <s v="BRENT4"/>
    <x v="1"/>
    <s v="The Brent Family Fund"/>
    <n v="0"/>
    <n v="20000"/>
    <n v="-4440"/>
    <n v="245.53"/>
    <n v="-83.56"/>
    <n v="0"/>
    <n v="1.34"/>
    <n v="-295.27999999999997"/>
    <n v="-0.68"/>
    <n v="0.66"/>
    <n v="15427.35"/>
    <m/>
    <n v="-49.089999999999975"/>
  </r>
  <r>
    <x v="5"/>
    <s v="73978"/>
    <s v="SUSSMA3"/>
    <x v="1"/>
    <s v="Sussman Schnur Gratitude Fund"/>
    <n v="0"/>
    <n v="24236.54"/>
    <n v="-10000"/>
    <n v="253.79"/>
    <n v="-75"/>
    <n v="0"/>
    <n v="1.29"/>
    <n v="95.65"/>
    <n v="-0.56000000000000005"/>
    <n v="0.73"/>
    <n v="14511.71"/>
    <m/>
    <n v="350.17"/>
  </r>
  <r>
    <x v="5"/>
    <s v="72136"/>
    <s v="APPLES2"/>
    <x v="2"/>
    <s v="The Anice Applestein Fund"/>
    <n v="353832.07"/>
    <n v="13746.76"/>
    <n v="-3538"/>
    <n v="8722.15"/>
    <n v="-2842.18"/>
    <n v="0"/>
    <n v="33.729999999999997"/>
    <n v="19758.599999999999"/>
    <n v="-14.27"/>
    <n v="19.459999999999997"/>
    <n v="389698.86"/>
    <m/>
    <n v="28500.21"/>
  </r>
  <r>
    <x v="5"/>
    <s v="72135"/>
    <s v="FELDST5"/>
    <x v="1"/>
    <s v="The Ruth and Nathan Feldstein Israel Travel Scholarship"/>
    <n v="48035"/>
    <n v="500"/>
    <n v="-500"/>
    <n v="1168.22"/>
    <n v="-382.57"/>
    <n v="0"/>
    <n v="4.4800000000000004"/>
    <n v="2681.37"/>
    <n v="-1.89"/>
    <n v="2.5900000000000007"/>
    <n v="51504.61"/>
    <m/>
    <n v="3852.1800000000003"/>
  </r>
  <r>
    <x v="5"/>
    <s v="71829"/>
    <s v="DREIER2"/>
    <x v="1"/>
    <s v="Sandra H. and William A. Dreier Charitable Trust"/>
    <n v="101153.73"/>
    <n v="0"/>
    <n v="0"/>
    <n v="2465.2600000000002"/>
    <n v="-805.82"/>
    <n v="0"/>
    <n v="9.4600000000000009"/>
    <n v="5672.87"/>
    <n v="-3.99"/>
    <n v="5.4700000000000006"/>
    <n v="108491.51"/>
    <m/>
    <n v="8143.6"/>
  </r>
  <r>
    <x v="5"/>
    <s v="71543"/>
    <s v="GROSSM25"/>
    <x v="1"/>
    <s v="The Amy Marlene Grossman Memorial Fund"/>
    <n v="6648.05"/>
    <n v="3260"/>
    <n v="-810"/>
    <n v="172.39"/>
    <n v="-150"/>
    <n v="0"/>
    <n v="0.64"/>
    <n v="362.69"/>
    <n v="-0.28000000000000003"/>
    <n v="0.36"/>
    <n v="9483.49"/>
    <m/>
    <n v="535.43999999999994"/>
  </r>
  <r>
    <x v="5"/>
    <s v="70511"/>
    <s v="SACHS4"/>
    <x v="1"/>
    <s v="The Renee Lisse Sachs (nee Lyszka) Charitable Contribution Fund for the Benefit of Humanity"/>
    <n v="8837.2900000000009"/>
    <n v="9118"/>
    <n v="-6113"/>
    <n v="266.08999999999997"/>
    <n v="-150"/>
    <n v="0"/>
    <n v="1.02"/>
    <n v="596.19000000000005"/>
    <n v="-0.49"/>
    <n v="0.53"/>
    <n v="12555.1"/>
    <m/>
    <n v="862.81"/>
  </r>
  <r>
    <x v="5"/>
    <s v="70509"/>
    <s v="RUBIN18"/>
    <x v="1"/>
    <s v="Amy E. and Kenneth A. Rubin Philanthropic Fund"/>
    <n v="6958.8"/>
    <n v="2500"/>
    <n v="-800"/>
    <n v="189.31"/>
    <n v="-150"/>
    <n v="0"/>
    <n v="0.79"/>
    <n v="309.5"/>
    <n v="-0.37"/>
    <n v="0.42000000000000004"/>
    <n v="9008.0300000000007"/>
    <m/>
    <n v="499.23"/>
  </r>
  <r>
    <x v="5"/>
    <s v="70466"/>
    <s v="SMALL10"/>
    <x v="2"/>
    <s v="The Small Family Fund"/>
    <n v="19448.72"/>
    <n v="0"/>
    <n v="-1225"/>
    <n v="457.74"/>
    <n v="-198.9"/>
    <n v="0"/>
    <n v="1.78"/>
    <n v="1081.51"/>
    <n v="-0.76"/>
    <n v="1.02"/>
    <n v="19565.09"/>
    <m/>
    <n v="1540.27"/>
  </r>
  <r>
    <x v="5"/>
    <s v="66878"/>
    <s v="WALLAC38"/>
    <x v="2"/>
    <s v="Robin Liebmann Wallack Fund"/>
    <n v="192989.64"/>
    <n v="0"/>
    <n v="-7000"/>
    <n v="4531.3599999999997"/>
    <n v="-1961.41"/>
    <n v="0"/>
    <n v="17.38"/>
    <n v="10545.35"/>
    <n v="-7.34"/>
    <n v="10.039999999999999"/>
    <n v="199114.98"/>
    <m/>
    <n v="15086.75"/>
  </r>
  <r>
    <x v="5"/>
    <s v="66877"/>
    <s v="WALLAC37"/>
    <x v="2"/>
    <s v="Wallack Family Fund"/>
    <n v="88115.19"/>
    <n v="100000"/>
    <n v="-21000"/>
    <n v="4056.57"/>
    <n v="-1547.7"/>
    <n v="0"/>
    <n v="15.6"/>
    <n v="9082.11"/>
    <n v="-6.59"/>
    <n v="9.01"/>
    <n v="178715.18"/>
    <m/>
    <n v="13147.69"/>
  </r>
  <r>
    <x v="5"/>
    <s v="66851"/>
    <s v="PORTER29"/>
    <x v="1"/>
    <s v="The Porter Family Donor Advised Fund"/>
    <n v="6611.03"/>
    <n v="10000"/>
    <n v="-2300"/>
    <n v="228.41"/>
    <n v="-150.49"/>
    <n v="0"/>
    <n v="1"/>
    <n v="186.14"/>
    <n v="-0.56999999999999995"/>
    <n v="0.43000000000000005"/>
    <n v="14575.52"/>
    <m/>
    <n v="414.97999999999996"/>
  </r>
  <r>
    <x v="5"/>
    <s v="66850"/>
    <s v="MEYERS19"/>
    <x v="1"/>
    <s v="The Help Someone Fund"/>
    <n v="5656.25"/>
    <n v="11764.56"/>
    <n v="-6010"/>
    <n v="188.29"/>
    <n v="-150"/>
    <n v="0"/>
    <n v="-22.71"/>
    <n v="194.29"/>
    <n v="-0.3"/>
    <n v="-23.01"/>
    <n v="11620.38"/>
    <m/>
    <n v="359.57"/>
  </r>
  <r>
    <x v="5"/>
    <s v="65383"/>
    <s v="VDOR1"/>
    <x v="3"/>
    <s v="Jewish Community Foundation of Greater Mercer L'Dor V'Dor Fund"/>
    <n v="20761.14"/>
    <n v="0"/>
    <n v="0"/>
    <n v="505"/>
    <n v="-216.89"/>
    <n v="0"/>
    <n v="1.97"/>
    <n v="1162.6600000000001"/>
    <n v="-0.85"/>
    <n v="1.1200000000000001"/>
    <n v="22213.03"/>
    <m/>
    <n v="1668.78"/>
  </r>
  <r>
    <x v="5"/>
    <s v="65382"/>
    <s v="KRAMER24"/>
    <x v="0"/>
    <s v="JCC of the Delaware Valley - Kramer Fund Restricted"/>
    <n v="9392.73"/>
    <n v="0"/>
    <n v="0"/>
    <n v="227.9"/>
    <n v="-150"/>
    <n v="0"/>
    <n v="0.9"/>
    <n v="537.85"/>
    <n v="-0.4"/>
    <n v="0.5"/>
    <n v="10008.98"/>
    <m/>
    <n v="766.25"/>
  </r>
  <r>
    <x v="5"/>
    <s v="65381"/>
    <s v="SZWALB1"/>
    <x v="0"/>
    <s v="JCC of the Delaware Valley - Shelly &amp; Ben Szwalbenest Fund"/>
    <n v="3728.13"/>
    <n v="0"/>
    <n v="0"/>
    <n v="89.4"/>
    <n v="-150"/>
    <n v="0"/>
    <n v="0.37"/>
    <n v="235.21"/>
    <n v="-0.17"/>
    <n v="0.19999999999999998"/>
    <n v="3902.94"/>
    <m/>
    <n v="324.81"/>
  </r>
  <r>
    <x v="5"/>
    <s v="65380"/>
    <s v="COHEN105"/>
    <x v="0"/>
    <s v="JCC of the Delaware Valley - Seymour Cohen Early Childhood Fund"/>
    <n v="11335.34"/>
    <n v="0"/>
    <n v="0"/>
    <n v="275.37"/>
    <n v="-150"/>
    <n v="0"/>
    <n v="1.0900000000000001"/>
    <n v="641.70000000000005"/>
    <n v="-0.48"/>
    <n v="0.6100000000000001"/>
    <n v="12103.02"/>
    <m/>
    <n v="917.68000000000006"/>
  </r>
  <r>
    <x v="5"/>
    <s v="65379"/>
    <s v="KRAMER23"/>
    <x v="0"/>
    <s v="JCC of the Delaware Valley - Kramer Fund Interest for Cultural Activities"/>
    <n v="16255.81"/>
    <n v="0"/>
    <n v="-2960"/>
    <n v="365.25"/>
    <n v="-163.88"/>
    <n v="0"/>
    <n v="1.42"/>
    <n v="1087.5999999999999"/>
    <n v="-0.59"/>
    <n v="0.83"/>
    <n v="14585.61"/>
    <m/>
    <n v="1453.6799999999998"/>
  </r>
  <r>
    <x v="5"/>
    <s v="65162"/>
    <s v="WINKLE17"/>
    <x v="2"/>
    <s v="Cecelia Ruth Winkler M.A.H. &amp; Paul Barry Winkler Ed. D. Endowment - Cafe Europa Fund"/>
    <n v="8767.14"/>
    <n v="0"/>
    <n v="-335"/>
    <n v="204.81"/>
    <n v="-150"/>
    <n v="0"/>
    <n v="0.82"/>
    <n v="492.73"/>
    <n v="-0.37"/>
    <n v="0.44999999999999996"/>
    <n v="8980.1299999999992"/>
    <m/>
    <n v="697.99"/>
  </r>
  <r>
    <x v="5"/>
    <s v="64981"/>
    <s v="EMES1"/>
    <x v="0"/>
    <s v="Congregation Toras Emes Life &amp; Legacy Endowment Fund"/>
    <n v="6771.98"/>
    <n v="4500"/>
    <n v="0"/>
    <n v="268.63"/>
    <n v="-105.96"/>
    <n v="0"/>
    <n v="1.0900000000000001"/>
    <n v="552.66999999999996"/>
    <n v="-0.48"/>
    <n v="0.6100000000000001"/>
    <n v="11987.93"/>
    <m/>
    <n v="821.91"/>
  </r>
  <r>
    <x v="5"/>
    <s v="62677"/>
    <s v="BORKAN1"/>
    <x v="1"/>
    <s v="The Harold Borkan Fund"/>
    <n v="27578.03"/>
    <n v="0"/>
    <n v="-200"/>
    <n v="669.82"/>
    <n v="-288.11"/>
    <n v="0"/>
    <n v="2.61"/>
    <n v="1549.22"/>
    <n v="-1.1200000000000001"/>
    <n v="1.4899999999999998"/>
    <n v="29310.45"/>
    <m/>
    <n v="2220.5299999999997"/>
  </r>
  <r>
    <x v="5"/>
    <s v="62661"/>
    <s v="HANAHA2"/>
    <x v="0"/>
    <s v="Kehilat HaNahar LIFE &amp; LEGACY Endowment Fund"/>
    <n v="6911.11"/>
    <n v="4500"/>
    <n v="0"/>
    <n v="249.6"/>
    <n v="-106.48"/>
    <n v="0"/>
    <n v="1.0900000000000001"/>
    <n v="436.34"/>
    <n v="-0.48"/>
    <n v="0.6100000000000001"/>
    <n v="11991.18"/>
    <m/>
    <n v="686.55"/>
  </r>
  <r>
    <x v="5"/>
    <s v="60352"/>
    <s v="TJCCA1"/>
    <x v="2"/>
    <s v="TJCCA Designated Fund"/>
    <n v="322426.01"/>
    <n v="0"/>
    <n v="-3248.13"/>
    <n v="7800.94"/>
    <n v="-3356.13"/>
    <n v="0"/>
    <n v="29.87"/>
    <n v="18082"/>
    <n v="-12.6"/>
    <n v="17.270000000000003"/>
    <n v="341721.96"/>
    <m/>
    <n v="25900.21"/>
  </r>
  <r>
    <x v="5"/>
    <s v="56537"/>
    <s v="UJFPMB6"/>
    <x v="0"/>
    <s v="JFPMB LIFE &amp; LEGACY Endowment Fund"/>
    <n v="6951.81"/>
    <n v="0"/>
    <n v="0"/>
    <n v="169.07"/>
    <n v="-72.63"/>
    <n v="0"/>
    <n v="0.7"/>
    <n v="389.32"/>
    <n v="-0.32"/>
    <n v="0.37999999999999995"/>
    <n v="7437.95"/>
    <m/>
    <n v="558.77"/>
  </r>
  <r>
    <x v="5"/>
    <s v="56365"/>
    <s v="FREEMA39"/>
    <x v="1"/>
    <s v="Herbert and Joan Freeman Fund"/>
    <n v="16675.72"/>
    <n v="16881"/>
    <n v="-13760"/>
    <n v="412.06"/>
    <n v="-208.84"/>
    <n v="0"/>
    <n v="15.04"/>
    <n v="782.61"/>
    <n v="-0.88"/>
    <n v="14.159999999999998"/>
    <n v="20796.71"/>
    <m/>
    <n v="1208.8300000000002"/>
  </r>
  <r>
    <x v="5"/>
    <s v="56131"/>
    <s v="VILKO1"/>
    <x v="1"/>
    <s v="Vilko Fund"/>
    <n v="33485.83"/>
    <n v="148763.5"/>
    <n v="-123382"/>
    <n v="1043.56"/>
    <n v="-404.97"/>
    <n v="0"/>
    <n v="1061.25"/>
    <n v="2824.99"/>
    <n v="-0.54"/>
    <n v="1060.71"/>
    <n v="63391.62"/>
    <m/>
    <n v="4929.26"/>
  </r>
  <r>
    <x v="5"/>
    <s v="56088"/>
    <s v="HEBREW4"/>
    <x v="0"/>
    <s v="Hebrew Free Loan Program Fund"/>
    <n v="12207.18"/>
    <n v="0"/>
    <n v="0"/>
    <n v="296.64"/>
    <n v="-150"/>
    <n v="0"/>
    <n v="1.1599999999999999"/>
    <n v="688.21"/>
    <n v="-0.51"/>
    <n v="0.64999999999999991"/>
    <n v="13042.68"/>
    <m/>
    <n v="985.5"/>
  </r>
  <r>
    <x v="5"/>
    <s v="56037"/>
    <s v="MEISEL4"/>
    <x v="1"/>
    <s v="The Andrew, Louisa, &amp; Owen Meisel Tzedakah"/>
    <n v="8098.17"/>
    <n v="0"/>
    <n v="-900"/>
    <n v="190.69"/>
    <n v="-150"/>
    <n v="0"/>
    <n v="0.76"/>
    <n v="472.17"/>
    <n v="-0.32"/>
    <n v="0.44"/>
    <n v="7711.47"/>
    <m/>
    <n v="663.30000000000007"/>
  </r>
  <r>
    <x v="5"/>
    <s v="55648"/>
    <s v="BLICK1"/>
    <x v="1"/>
    <s v="Art &amp; Lauren Blick Donor Advised Fund"/>
    <n v="8274.26"/>
    <n v="15033"/>
    <n v="-21574.57"/>
    <n v="196.66"/>
    <n v="-163.68"/>
    <n v="0"/>
    <n v="0.76"/>
    <n v="931.12"/>
    <n v="-0.12"/>
    <n v="0.64"/>
    <n v="2697.43"/>
    <m/>
    <n v="1128.42"/>
  </r>
  <r>
    <x v="5"/>
    <s v="55401"/>
    <s v="KATZ110"/>
    <x v="1"/>
    <s v="Katz / Kurinsky Philanthropic Fund"/>
    <n v="6724.84"/>
    <n v="16731.419999999998"/>
    <n v="-9095"/>
    <n v="269.83"/>
    <n v="-165.04"/>
    <n v="0"/>
    <n v="-14.82"/>
    <n v="150.19999999999999"/>
    <n v="-0.56999999999999995"/>
    <n v="-15.39"/>
    <n v="14600.86"/>
    <m/>
    <n v="404.64"/>
  </r>
  <r>
    <x v="5"/>
    <s v="55245"/>
    <s v="GORDON47"/>
    <x v="1"/>
    <s v="Gordon Community Fund"/>
    <n v="25752.12"/>
    <n v="39653.42"/>
    <n v="-13950"/>
    <n v="837.89"/>
    <n v="-282.31"/>
    <n v="0"/>
    <n v="2.67"/>
    <n v="1669.05"/>
    <n v="-1.1399999999999999"/>
    <n v="1.53"/>
    <n v="53681.7"/>
    <m/>
    <n v="2508.4700000000003"/>
  </r>
  <r>
    <x v="5"/>
    <s v="55070"/>
    <s v="KRAKAU1"/>
    <x v="1"/>
    <s v="Krakauer Fund"/>
    <n v="53121.64"/>
    <n v="26865"/>
    <n v="-51310"/>
    <n v="987.7"/>
    <n v="-473.29"/>
    <n v="0"/>
    <n v="104.48"/>
    <n v="3005.48"/>
    <n v="-0.64"/>
    <n v="103.84"/>
    <n v="32300.37"/>
    <m/>
    <n v="4097.0200000000004"/>
  </r>
  <r>
    <x v="5"/>
    <s v="49564"/>
    <s v="JFCS3"/>
    <x v="0"/>
    <s v="JFCS of Greater Mercer County First LIFE &amp; LEGACY Endowment Fund"/>
    <n v="6722.05"/>
    <n v="4500"/>
    <n v="0"/>
    <n v="267.45"/>
    <n v="-105.46"/>
    <n v="0"/>
    <n v="1.08"/>
    <n v="549.84"/>
    <n v="-0.48"/>
    <n v="0.60000000000000009"/>
    <n v="11934.48"/>
    <m/>
    <n v="817.89"/>
  </r>
  <r>
    <x v="5"/>
    <s v="49536"/>
    <s v="CHADAS1"/>
    <x v="0"/>
    <s v="Or Chadash LIFE &amp; LEGACY Endowment Fund"/>
    <n v="16397.18"/>
    <n v="8480"/>
    <n v="0"/>
    <n v="566.75"/>
    <n v="-224.05"/>
    <n v="0"/>
    <n v="2.2400000000000002"/>
    <n v="1150.58"/>
    <n v="-0.97"/>
    <n v="1.2700000000000002"/>
    <n v="26371.73"/>
    <m/>
    <n v="1718.6"/>
  </r>
  <r>
    <x v="5"/>
    <s v="49525"/>
    <s v="BETHCH1"/>
    <x v="0"/>
    <s v="Beth Chaim LIFE &amp; LEGACY Endowment Fund"/>
    <n v="6563.21"/>
    <n v="4500"/>
    <n v="0"/>
    <n v="263.58999999999997"/>
    <n v="-103.79"/>
    <n v="0"/>
    <n v="1.06"/>
    <n v="540.91999999999996"/>
    <n v="-0.47"/>
    <n v="0.59000000000000008"/>
    <n v="11764.52"/>
    <m/>
    <n v="805.1"/>
  </r>
  <r>
    <x v="5"/>
    <s v="49524"/>
    <s v="ADATH1"/>
    <x v="0"/>
    <s v="Adath Israel LIFE &amp; LEGACY Endowment Fund"/>
    <n v="6555.96"/>
    <n v="0"/>
    <n v="0"/>
    <n v="159.46"/>
    <n v="-68.489999999999995"/>
    <n v="0"/>
    <n v="0.65"/>
    <n v="367.18"/>
    <n v="-0.3"/>
    <n v="0.35000000000000003"/>
    <n v="7014.46"/>
    <m/>
    <n v="526.99"/>
  </r>
  <r>
    <x v="5"/>
    <s v="49304"/>
    <s v="JEWISH28"/>
    <x v="0"/>
    <s v="Jewish Center of Princeton Endowment Fund"/>
    <n v="80552.44"/>
    <n v="9680"/>
    <n v="0"/>
    <n v="2093.88"/>
    <n v="-877.98"/>
    <n v="0"/>
    <n v="7.96"/>
    <n v="4573.1499999999996"/>
    <n v="-3.37"/>
    <n v="4.59"/>
    <n v="96026.08"/>
    <m/>
    <n v="6671.62"/>
  </r>
  <r>
    <x v="5"/>
    <s v="49253"/>
    <s v="DAVIDS14"/>
    <x v="1"/>
    <s v="The DADA Fund"/>
    <n v="15079.56"/>
    <n v="0"/>
    <n v="-1200"/>
    <n v="349.86"/>
    <n v="-152.91"/>
    <n v="0"/>
    <n v="1.37"/>
    <n v="840.61"/>
    <n v="-0.59"/>
    <n v="0.78000000000000014"/>
    <n v="14917.9"/>
    <m/>
    <n v="1191.25"/>
  </r>
  <r>
    <x v="5"/>
    <s v="49131"/>
    <s v="MICHAE8"/>
    <x v="1"/>
    <s v="Manning &amp; Hoffman-Manning Charitable Fund"/>
    <n v="6585.89"/>
    <n v="0"/>
    <n v="0"/>
    <n v="159.30000000000001"/>
    <n v="-150"/>
    <n v="0"/>
    <n v="0.65"/>
    <n v="387.9"/>
    <n v="-0.3"/>
    <n v="0.35000000000000003"/>
    <n v="6983.44"/>
    <m/>
    <n v="547.55000000000007"/>
  </r>
  <r>
    <x v="5"/>
    <s v="48855"/>
    <s v="MEISEL2"/>
    <x v="1"/>
    <s v="Zachary, Ava &amp; Stella Kovner Meisel Tzedkah Fund"/>
    <n v="7287.31"/>
    <n v="0"/>
    <n v="-900"/>
    <n v="170.88"/>
    <n v="-150"/>
    <n v="0"/>
    <n v="0.68"/>
    <n v="428.79"/>
    <n v="-0.28999999999999998"/>
    <n v="0.39000000000000007"/>
    <n v="6837.37"/>
    <m/>
    <n v="600.06000000000006"/>
  </r>
  <r>
    <x v="5"/>
    <s v="48533"/>
    <s v="SNOW3"/>
    <x v="1"/>
    <s v="Nagelberg Philanthropic Fund"/>
    <n v="9289.57"/>
    <n v="0"/>
    <n v="0"/>
    <n v="225.35"/>
    <n v="-150"/>
    <n v="0"/>
    <n v="0.9"/>
    <n v="532.41999999999996"/>
    <n v="-0.4"/>
    <n v="0.5"/>
    <n v="9897.84"/>
    <m/>
    <n v="758.27"/>
  </r>
  <r>
    <x v="5"/>
    <s v="48355"/>
    <s v="FREEMA17"/>
    <x v="1"/>
    <s v="Marsha &amp; Eliot Freeman Family Fund"/>
    <n v="55683.54"/>
    <n v="0"/>
    <n v="0"/>
    <n v="1354.44"/>
    <n v="-581.72"/>
    <n v="0"/>
    <n v="5.21"/>
    <n v="3118.4"/>
    <n v="-2.21"/>
    <n v="3"/>
    <n v="59577.66"/>
    <m/>
    <n v="4475.84"/>
  </r>
  <r>
    <x v="5"/>
    <s v="48196"/>
    <s v="JEWISH27"/>
    <x v="3"/>
    <s v="Jewish Community Foundation of Greater Mercer LIFE &amp; LEGACY Endowment Fund"/>
    <n v="45683.26"/>
    <n v="13293.96"/>
    <n v="-4305"/>
    <n v="1212.8699999999999"/>
    <n v="-505.01"/>
    <n v="0"/>
    <n v="4.58"/>
    <n v="2431.0100000000002"/>
    <n v="-1.9"/>
    <n v="2.68"/>
    <n v="57813.77"/>
    <m/>
    <n v="3646.56"/>
  </r>
  <r>
    <x v="5"/>
    <s v="47872"/>
    <s v="WALDOR1"/>
    <x v="1"/>
    <s v="Berman-Waldorf Family Fund"/>
    <n v="1699.11"/>
    <n v="2049.9"/>
    <n v="-650"/>
    <n v="54.3"/>
    <n v="-150"/>
    <n v="0"/>
    <n v="-13.43"/>
    <n v="149.41"/>
    <n v="-0.11"/>
    <n v="-13.54"/>
    <n v="3139.18"/>
    <m/>
    <n v="190.17"/>
  </r>
  <r>
    <x v="5"/>
    <s v="47724"/>
    <s v="SNOW2"/>
    <x v="1"/>
    <s v="Snow - Nagelberg Philanthropic Fund"/>
    <n v="6968.74"/>
    <n v="25000"/>
    <n v="-1000"/>
    <n v="445.89"/>
    <n v="-236.62"/>
    <n v="0"/>
    <n v="1.96"/>
    <n v="87.09"/>
    <n v="-1.1599999999999999"/>
    <n v="0.8"/>
    <n v="31265.9"/>
    <m/>
    <n v="533.78"/>
  </r>
  <r>
    <x v="5"/>
    <s v="47350"/>
    <s v="FELDMA18"/>
    <x v="1"/>
    <s v="Dena Feldman Fund for Tzedakah"/>
    <n v="18476.16"/>
    <n v="0"/>
    <n v="0"/>
    <n v="449.44"/>
    <n v="-193.02"/>
    <n v="0"/>
    <n v="1.77"/>
    <n v="1034.73"/>
    <n v="-0.77"/>
    <n v="1"/>
    <n v="19768.310000000001"/>
    <m/>
    <n v="1485.17"/>
  </r>
  <r>
    <x v="5"/>
    <s v="47349"/>
    <s v="FRAM1"/>
    <x v="1"/>
    <s v="Harvey &amp; Carine Fram Charitable Gift Fund"/>
    <n v="18900.61"/>
    <n v="3000"/>
    <n v="0"/>
    <n v="487.48"/>
    <n v="-204.83"/>
    <n v="0"/>
    <n v="1.87"/>
    <n v="992.73"/>
    <n v="-0.8"/>
    <n v="1.07"/>
    <n v="23177.06"/>
    <m/>
    <n v="1481.28"/>
  </r>
  <r>
    <x v="5"/>
    <s v="46976"/>
    <s v="DAVIDS12"/>
    <x v="1"/>
    <s v="Davidson Philanthropic Fund"/>
    <n v="20823.63"/>
    <n v="0"/>
    <n v="-700"/>
    <n v="497.63"/>
    <n v="-215.28"/>
    <n v="0"/>
    <n v="1.93"/>
    <n v="1176.48"/>
    <n v="-0.83"/>
    <n v="1.1000000000000001"/>
    <n v="21583.56"/>
    <m/>
    <n v="1675.21"/>
  </r>
  <r>
    <x v="5"/>
    <s v="46842"/>
    <s v="FELDST4"/>
    <x v="1"/>
    <s v="Lori and Michael Feldstein Fund"/>
    <n v="38632.65"/>
    <n v="91886.63"/>
    <n v="-59486"/>
    <n v="1383.69"/>
    <n v="-661.37"/>
    <n v="0"/>
    <n v="-56.87"/>
    <n v="2332.75"/>
    <n v="-2.81"/>
    <n v="-59.68"/>
    <n v="74028.67"/>
    <m/>
    <n v="3656.76"/>
  </r>
  <r>
    <x v="5"/>
    <s v="46751"/>
    <s v="SHAKUN2"/>
    <x v="2"/>
    <s v="Beth El's Future"/>
    <n v="115979.48"/>
    <n v="0"/>
    <n v="-4421"/>
    <n v="2722.61"/>
    <n v="-1178.55"/>
    <n v="0"/>
    <n v="10.46"/>
    <n v="6527.25"/>
    <n v="-4.43"/>
    <n v="6.0300000000000011"/>
    <n v="119635.82"/>
    <m/>
    <n v="9255.8900000000012"/>
  </r>
  <r>
    <x v="5"/>
    <s v="46630"/>
    <s v="KOHN7"/>
    <x v="0"/>
    <s v="The Richard M. Kohn Endowment Fund"/>
    <n v="1046782.12"/>
    <n v="80685.02"/>
    <n v="-39986"/>
    <n v="25775.56"/>
    <n v="-10808.69"/>
    <n v="0"/>
    <n v="100.06"/>
    <n v="58100.35"/>
    <n v="-42.61"/>
    <n v="57.45"/>
    <n v="1160605.81"/>
    <m/>
    <n v="83933.36"/>
  </r>
  <r>
    <x v="5"/>
    <s v="45234"/>
    <s v="LEIBOW1"/>
    <x v="1"/>
    <s v="Donald S. Leibowitz and Karen Brodsky Philanthropic Fund"/>
    <n v="83022.42"/>
    <n v="30500"/>
    <n v="-13525"/>
    <n v="2229.35"/>
    <n v="-924.11"/>
    <n v="0"/>
    <n v="8.84"/>
    <n v="3957.67"/>
    <n v="-3.86"/>
    <n v="4.9800000000000004"/>
    <n v="105265.31"/>
    <m/>
    <n v="6192"/>
  </r>
  <r>
    <x v="5"/>
    <s v="44365"/>
    <s v="DIAMON3"/>
    <x v="1"/>
    <s v="Rabbi James S. Diamond Memorial Fund"/>
    <n v="16539.55"/>
    <n v="850"/>
    <n v="0"/>
    <n v="417.57"/>
    <n v="-178.43"/>
    <n v="0"/>
    <n v="1.65"/>
    <n v="938.37"/>
    <n v="-0.72"/>
    <n v="0.92999999999999994"/>
    <n v="18567.990000000002"/>
    <m/>
    <n v="1356.8700000000001"/>
  </r>
  <r>
    <x v="5"/>
    <s v="43836"/>
    <s v="ZLATIN1"/>
    <x v="1"/>
    <s v="Tikkun Olam Fund"/>
    <n v="5038.42"/>
    <n v="7748.6"/>
    <n v="-11270"/>
    <n v="71.53"/>
    <n v="-150"/>
    <n v="0"/>
    <n v="-1.47"/>
    <n v="324.25"/>
    <n v="-0.02"/>
    <n v="-1.49"/>
    <n v="1761.31"/>
    <m/>
    <n v="394.28999999999996"/>
  </r>
  <r>
    <x v="5"/>
    <s v="43834"/>
    <s v="GARBER7"/>
    <x v="1"/>
    <s v="Eileen and Robert Garber Family Fund"/>
    <n v="9673.7000000000007"/>
    <n v="500"/>
    <n v="0"/>
    <n v="240.42"/>
    <n v="-150"/>
    <n v="0"/>
    <n v="0.96"/>
    <n v="545.33000000000004"/>
    <n v="-0.43"/>
    <n v="0.53"/>
    <n v="10809.98"/>
    <m/>
    <n v="786.28"/>
  </r>
  <r>
    <x v="5"/>
    <s v="42917"/>
    <s v="UJFPMB5"/>
    <x v="0"/>
    <s v="UJFPMB Kravitz"/>
    <n v="112174.23"/>
    <n v="0"/>
    <n v="-5345"/>
    <n v="2604.09"/>
    <n v="-1130.08"/>
    <n v="0"/>
    <n v="9.99"/>
    <n v="6081.5"/>
    <n v="-4.22"/>
    <n v="5.7700000000000005"/>
    <n v="114390.51"/>
    <m/>
    <n v="8691.36"/>
  </r>
  <r>
    <x v="5"/>
    <s v="42559"/>
    <s v="PUNIA1"/>
    <x v="3"/>
    <s v="Renee Punia Fund"/>
    <n v="116593.63"/>
    <n v="0"/>
    <n v="-5555"/>
    <n v="2706.73"/>
    <n v="-1174.5999999999999"/>
    <n v="0"/>
    <n v="10.39"/>
    <n v="6321.19"/>
    <n v="-4.3899999999999997"/>
    <n v="6.0000000000000009"/>
    <n v="118897.95"/>
    <m/>
    <n v="9033.92"/>
  </r>
  <r>
    <x v="5"/>
    <s v="42558"/>
    <s v="KEHILL1"/>
    <x v="3"/>
    <s v="The Kehillah Fund"/>
    <n v="94960.39"/>
    <n v="0"/>
    <n v="0"/>
    <n v="2325.35"/>
    <n v="0"/>
    <n v="0"/>
    <n v="8.9499999999999993"/>
    <n v="5161.6899999999996"/>
    <n v="-3.8"/>
    <n v="5.1499999999999995"/>
    <n v="102452.58"/>
    <m/>
    <n v="7492.1899999999987"/>
  </r>
  <r>
    <x v="5"/>
    <s v="42557"/>
    <s v="FIF1"/>
    <x v="3"/>
    <s v="Foundation Investment Fund"/>
    <n v="104479.53"/>
    <n v="0"/>
    <n v="0"/>
    <n v="2553"/>
    <n v="0"/>
    <n v="0"/>
    <n v="9.83"/>
    <n v="5578.7"/>
    <n v="-4.16"/>
    <n v="5.67"/>
    <n v="112616.9"/>
    <m/>
    <n v="8137.37"/>
  </r>
  <r>
    <x v="5"/>
    <s v="42555"/>
    <s v="UJFPMB4"/>
    <x v="0"/>
    <s v="UJFPMB Julius and Dorothy Koppelman Designated Fund"/>
    <n v="474772.52"/>
    <n v="0"/>
    <n v="-54001.64"/>
    <n v="10639.79"/>
    <n v="-4687.76"/>
    <n v="0"/>
    <n v="39.630000000000003"/>
    <n v="26909.71"/>
    <n v="-16.760000000000002"/>
    <n v="22.87"/>
    <n v="453655.49"/>
    <m/>
    <n v="37572.370000000003"/>
  </r>
  <r>
    <x v="5"/>
    <s v="42554"/>
    <s v="UJFPMB3"/>
    <x v="0"/>
    <s v="UJFPMB Shirley Kobak Lion of Judah Endowment Fund"/>
    <n v="92597.51"/>
    <n v="0"/>
    <n v="-4412"/>
    <n v="2149.64"/>
    <n v="-932.85"/>
    <n v="0"/>
    <n v="8.24"/>
    <n v="5020.16"/>
    <n v="-3.48"/>
    <n v="4.76"/>
    <n v="94427.22"/>
    <m/>
    <n v="7174.5599999999995"/>
  </r>
  <r>
    <x v="5"/>
    <s v="42553"/>
    <s v="UJFPMB2"/>
    <x v="0"/>
    <s v="UJFPMB Estates Fund"/>
    <n v="53507.34"/>
    <n v="0"/>
    <n v="0"/>
    <n v="1301.54"/>
    <n v="-558.99"/>
    <n v="0"/>
    <n v="5.01"/>
    <n v="2996.56"/>
    <n v="-2.12"/>
    <n v="2.8899999999999997"/>
    <n v="57249.34"/>
    <m/>
    <n v="4300.9900000000007"/>
  </r>
  <r>
    <x v="5"/>
    <s v="42552"/>
    <s v="SRF1"/>
    <x v="0"/>
    <s v="Soviet Resettlement Fund"/>
    <n v="1030.71"/>
    <n v="0"/>
    <n v="0"/>
    <n v="25.12"/>
    <n v="-37.5"/>
    <n v="0"/>
    <n v="0.11"/>
    <n v="92.05"/>
    <n v="-0.05"/>
    <n v="0.06"/>
    <n v="1110.44"/>
    <m/>
    <n v="117.23"/>
  </r>
  <r>
    <x v="5"/>
    <s v="42551"/>
    <s v="PACK1"/>
    <x v="0"/>
    <s v="JFCS Pack Scholarship Fund"/>
    <n v="19556.66"/>
    <n v="0"/>
    <n v="-745"/>
    <n v="458.36"/>
    <n v="-198.49"/>
    <n v="0"/>
    <n v="1.81"/>
    <n v="1067.32"/>
    <n v="-0.79"/>
    <n v="1.02"/>
    <n v="20139.87"/>
    <m/>
    <n v="1526.6999999999998"/>
  </r>
  <r>
    <x v="5"/>
    <s v="42550"/>
    <s v="AHALF1"/>
    <x v="0"/>
    <s v="AHA Sandy Light Fund"/>
    <n v="24349.279999999999"/>
    <n v="1481"/>
    <n v="-892"/>
    <n v="579.98"/>
    <n v="-247.4"/>
    <n v="0"/>
    <n v="2.2400000000000002"/>
    <n v="1301.51"/>
    <n v="-0.97"/>
    <n v="1.2700000000000002"/>
    <n v="26573.64"/>
    <m/>
    <n v="1882.76"/>
  </r>
  <r>
    <x v="5"/>
    <s v="42549"/>
    <s v="SILK1"/>
    <x v="1"/>
    <s v="Allen and Judith Silk Philanthropic Fund"/>
    <n v="34421.08"/>
    <n v="0"/>
    <n v="-12600"/>
    <n v="724.09"/>
    <n v="-339.86"/>
    <n v="0"/>
    <n v="2.63"/>
    <n v="2013.45"/>
    <n v="-0.91"/>
    <n v="1.7199999999999998"/>
    <n v="24220.48"/>
    <m/>
    <n v="2739.2599999999998"/>
  </r>
  <r>
    <x v="5"/>
    <s v="42548"/>
    <s v="ROJER2"/>
    <x v="2"/>
    <s v="Goldie B. Rojer Hunger Relief Fund"/>
    <n v="55342.61"/>
    <n v="0"/>
    <n v="-2121"/>
    <n v="1296.79"/>
    <n v="-561.58000000000004"/>
    <n v="0"/>
    <n v="4.99"/>
    <n v="3019.76"/>
    <n v="-2.11"/>
    <n v="2.8800000000000003"/>
    <n v="56979.46"/>
    <m/>
    <n v="4319.43"/>
  </r>
  <r>
    <x v="5"/>
    <s v="42547"/>
    <s v="BERKOW5"/>
    <x v="2"/>
    <s v="Anne and Bernard Berkowitz Legacy Fund"/>
    <n v="12492.81"/>
    <n v="0"/>
    <n v="-596"/>
    <n v="289.73"/>
    <n v="-150"/>
    <n v="0"/>
    <n v="1.1399999999999999"/>
    <n v="682.67"/>
    <n v="-0.5"/>
    <n v="0.6399999999999999"/>
    <n v="12719.85"/>
    <m/>
    <n v="973.04"/>
  </r>
  <r>
    <x v="5"/>
    <s v="42546"/>
    <s v="YSF1"/>
    <x v="4"/>
    <s v="Youth Scholarship Fund"/>
    <n v="6837.81"/>
    <n v="0"/>
    <n v="-1590"/>
    <n v="130.12"/>
    <n v="0"/>
    <n v="0"/>
    <n v="0.54"/>
    <n v="306.63"/>
    <n v="-0.25"/>
    <n v="0.29000000000000004"/>
    <n v="5684.85"/>
    <m/>
    <n v="437.04"/>
  </r>
  <r>
    <x v="5"/>
    <s v="42545"/>
    <s v="WOLLIN1"/>
    <x v="4"/>
    <s v="Wollin Scholarship Fund"/>
    <n v="19807.72"/>
    <n v="0"/>
    <n v="-5000"/>
    <n v="366.02"/>
    <n v="-167.77"/>
    <n v="0"/>
    <n v="1.41"/>
    <n v="913.41"/>
    <n v="-0.61"/>
    <n v="0.79999999999999993"/>
    <n v="15920.18"/>
    <m/>
    <n v="1280.2299999999998"/>
  </r>
  <r>
    <x v="5"/>
    <s v="42544"/>
    <s v="UJFPMB1"/>
    <x v="4"/>
    <s v="UJFPMB Income Fund"/>
    <n v="11011.74"/>
    <n v="0"/>
    <n v="-420"/>
    <n v="257.66000000000003"/>
    <n v="-150"/>
    <n v="0"/>
    <n v="1.02"/>
    <n v="609.70000000000005"/>
    <n v="-0.45"/>
    <n v="0.57000000000000006"/>
    <n v="11309.67"/>
    <m/>
    <n v="867.93000000000018"/>
  </r>
  <r>
    <x v="5"/>
    <s v="42543"/>
    <s v="SIF1"/>
    <x v="4"/>
    <s v="Scholarship Investment Fund"/>
    <n v="27432.19"/>
    <n v="0"/>
    <n v="0"/>
    <n v="667.26"/>
    <n v="-286.58"/>
    <n v="0"/>
    <n v="2.6"/>
    <n v="1536.33"/>
    <n v="-1.1200000000000001"/>
    <n v="1.48"/>
    <n v="29350.68"/>
    <m/>
    <n v="2205.0700000000002"/>
  </r>
  <r>
    <x v="5"/>
    <s v="42542"/>
    <s v="OFFNER1"/>
    <x v="2"/>
    <s v="Offner JFCS Senior Services Fund"/>
    <n v="16674.7"/>
    <n v="0"/>
    <n v="-636"/>
    <n v="390.8"/>
    <n v="-169.23"/>
    <n v="0"/>
    <n v="1.51"/>
    <n v="909.93"/>
    <n v="-0.65"/>
    <n v="0.86"/>
    <n v="17171.060000000001"/>
    <m/>
    <n v="1301.5899999999999"/>
  </r>
  <r>
    <x v="5"/>
    <s v="42541"/>
    <s v="KLATZK2"/>
    <x v="4"/>
    <s v="Clive B. Klatzkin PACE Designated Fund"/>
    <n v="51616.39"/>
    <n v="0"/>
    <n v="0"/>
    <n v="1255.54"/>
    <n v="-539.23"/>
    <n v="0"/>
    <n v="4.84"/>
    <n v="2890.63"/>
    <n v="-2.0499999999999998"/>
    <n v="2.79"/>
    <n v="55226.12"/>
    <m/>
    <n v="4148.96"/>
  </r>
  <r>
    <x v="5"/>
    <s v="42540"/>
    <s v="KELSEY2"/>
    <x v="4"/>
    <s v="Harold H. Kelsey Greenwood House Fund"/>
    <n v="95828.24"/>
    <n v="0"/>
    <n v="-8262"/>
    <n v="2138.5700000000002"/>
    <n v="-936.5"/>
    <n v="0"/>
    <n v="8.19"/>
    <n v="5056.6000000000004"/>
    <n v="-3.46"/>
    <n v="4.7299999999999995"/>
    <n v="93829.64"/>
    <m/>
    <n v="7199.9"/>
  </r>
  <r>
    <x v="5"/>
    <s v="42539"/>
    <s v="KAHN7"/>
    <x v="4"/>
    <s v="Albert B. Kahn Scholarship Fund"/>
    <n v="145104.57"/>
    <n v="0"/>
    <n v="-5380"/>
    <n v="3404.96"/>
    <n v="-1473.77"/>
    <n v="0"/>
    <n v="13.07"/>
    <n v="7915.49"/>
    <n v="-5.53"/>
    <n v="7.54"/>
    <n v="149578.79"/>
    <m/>
    <n v="11327.990000000002"/>
  </r>
  <r>
    <x v="5"/>
    <s v="42537"/>
    <s v="GHIF1"/>
    <x v="4"/>
    <s v="Greenwood House Income Fund"/>
    <n v="11585.47"/>
    <n v="0"/>
    <n v="-442"/>
    <n v="271.13"/>
    <n v="-150"/>
    <n v="0"/>
    <n v="1.08"/>
    <n v="639.52"/>
    <n v="-0.48"/>
    <n v="0.60000000000000009"/>
    <n v="11904.72"/>
    <m/>
    <n v="911.25"/>
  </r>
  <r>
    <x v="5"/>
    <s v="42536"/>
    <s v="GLAZER2"/>
    <x v="4"/>
    <s v="Henry and Geralyn Glazer Greenwood House Scholarship Fund"/>
    <n v="38130.160000000003"/>
    <n v="0"/>
    <n v="-1500"/>
    <n v="892.57"/>
    <n v="-386.62"/>
    <n v="0"/>
    <n v="3.44"/>
    <n v="2079.0700000000002"/>
    <n v="-1.46"/>
    <n v="1.98"/>
    <n v="39217.160000000003"/>
    <m/>
    <n v="2973.6200000000003"/>
  </r>
  <r>
    <x v="5"/>
    <s v="42535"/>
    <s v="GARB3"/>
    <x v="4"/>
    <s v="Benjamin Garb Scholarship Fund"/>
    <n v="39163.120000000003"/>
    <n v="0"/>
    <n v="-1380"/>
    <n v="920.63"/>
    <n v="-398.33"/>
    <n v="0"/>
    <n v="3.55"/>
    <n v="2139.16"/>
    <n v="-1.51"/>
    <n v="2.04"/>
    <n v="40446.620000000003"/>
    <m/>
    <n v="3061.83"/>
  </r>
  <r>
    <x v="5"/>
    <s v="42534"/>
    <s v="EDINIT1"/>
    <x v="4"/>
    <s v="Educational Initiative Fund"/>
    <n v="105701.59"/>
    <n v="0"/>
    <n v="-4028"/>
    <n v="2477.31"/>
    <n v="-1072.75"/>
    <n v="0"/>
    <n v="9.49"/>
    <n v="5768.47"/>
    <n v="-4"/>
    <n v="5.49"/>
    <n v="108852.11"/>
    <m/>
    <n v="8251.27"/>
  </r>
  <r>
    <x v="5"/>
    <s v="42533"/>
    <s v="DENBO4"/>
    <x v="4"/>
    <s v="Alexander &amp; Syble G. Denbo Penn State/Dickinson School of Law Fund"/>
    <n v="194960.15"/>
    <n v="0"/>
    <n v="-16808"/>
    <n v="4411.43"/>
    <n v="-1931.36"/>
    <n v="0"/>
    <n v="16.73"/>
    <n v="10693.96"/>
    <n v="-7.08"/>
    <n v="9.65"/>
    <n v="191335.83"/>
    <m/>
    <n v="15115.039999999999"/>
  </r>
  <r>
    <x v="5"/>
    <s v="42532"/>
    <s v="DENBO3"/>
    <x v="2"/>
    <s v="Alexander &amp; Syble G. Denbo JFCS Fund"/>
    <n v="1451846.38"/>
    <n v="0"/>
    <n v="-56407.35"/>
    <n v="34014.160000000003"/>
    <n v="-13547.97"/>
    <n v="0"/>
    <n v="130.56"/>
    <n v="78896.05"/>
    <n v="-55.21"/>
    <n v="75.349999999999994"/>
    <n v="1494876.62"/>
    <m/>
    <n v="112985.56000000001"/>
  </r>
  <r>
    <x v="5"/>
    <s v="42531"/>
    <s v="DENBO2"/>
    <x v="2"/>
    <s v="Alexander &amp; Syble G. Denbo Greenwood House Fund"/>
    <n v="1144395.6299999999"/>
    <n v="0"/>
    <n v="-77939.3"/>
    <n v="26025.49"/>
    <n v="-11010.36"/>
    <n v="0"/>
    <n v="99.81"/>
    <n v="61080.77"/>
    <n v="-42.2"/>
    <n v="57.61"/>
    <n v="1142609.8400000001"/>
    <m/>
    <n v="87163.87"/>
  </r>
  <r>
    <x v="5"/>
    <s v="42530"/>
    <s v="DENBO1"/>
    <x v="4"/>
    <s v="Alexander Denbo School Fund"/>
    <n v="23076.7"/>
    <n v="0"/>
    <n v="-880"/>
    <n v="540.82000000000005"/>
    <n v="-234.2"/>
    <n v="0"/>
    <n v="2.12"/>
    <n v="1259.3499999999999"/>
    <n v="-0.92"/>
    <n v="1.2000000000000002"/>
    <n v="23763.87"/>
    <m/>
    <n v="1801.3700000000001"/>
  </r>
  <r>
    <x v="5"/>
    <s v="42529"/>
    <s v="AHAPIF1"/>
    <x v="4"/>
    <s v="AHA Pooled Special Funds"/>
    <n v="2875.67"/>
    <n v="0"/>
    <n v="0"/>
    <n v="70.239999999999995"/>
    <n v="0"/>
    <n v="0"/>
    <n v="0.28000000000000003"/>
    <n v="153.07"/>
    <n v="-0.13"/>
    <n v="0.15000000000000002"/>
    <n v="3099.13"/>
    <m/>
    <n v="223.46"/>
  </r>
  <r>
    <x v="5"/>
    <s v="42528"/>
    <s v="ZELTT1"/>
    <x v="1"/>
    <s v="Harold &amp; Marilyn Zeltt Charitable Fund"/>
    <n v="3221.17"/>
    <n v="0"/>
    <n v="-2300"/>
    <n v="31.24"/>
    <n v="-150"/>
    <n v="0"/>
    <n v="0.09"/>
    <n v="144.61000000000001"/>
    <n v="-0.04"/>
    <n v="4.9999999999999996E-2"/>
    <n v="947.07"/>
    <m/>
    <n v="175.90000000000003"/>
  </r>
  <r>
    <x v="5"/>
    <s v="42527"/>
    <s v="WISOTS1"/>
    <x v="1"/>
    <s v="Wisotsky Family Philanthropic Fund"/>
    <n v="408.85"/>
    <n v="1163.8"/>
    <n v="0"/>
    <n v="15.01"/>
    <n v="-150"/>
    <n v="0"/>
    <n v="-5.6"/>
    <n v="37.659999999999997"/>
    <n v="-0.01"/>
    <n v="-5.6099999999999994"/>
    <n v="1469.71"/>
    <m/>
    <n v="47.059999999999995"/>
  </r>
  <r>
    <x v="5"/>
    <s v="42525"/>
    <s v="URKEN1"/>
    <x v="1"/>
    <s v="Ernestine and Karl Urken Philanthropic Fund"/>
    <n v="16544.52"/>
    <n v="0"/>
    <n v="-100"/>
    <n v="400.11"/>
    <n v="-172.05"/>
    <n v="0"/>
    <n v="1.57"/>
    <n v="922.65"/>
    <n v="-0.68"/>
    <n v="0.89"/>
    <n v="17596.12"/>
    <m/>
    <n v="1323.65"/>
  </r>
  <r>
    <x v="5"/>
    <s v="42524"/>
    <s v="SUCHAR1"/>
    <x v="1"/>
    <s v="Sucharow Family Charitable Fund"/>
    <n v="653542.19999999995"/>
    <n v="0"/>
    <n v="-329000"/>
    <n v="9557.57"/>
    <n v="-4849.43"/>
    <n v="0"/>
    <n v="33.86"/>
    <n v="28540.35"/>
    <n v="-13.18"/>
    <n v="20.68"/>
    <n v="357811.37"/>
    <m/>
    <n v="38118.6"/>
  </r>
  <r>
    <x v="5"/>
    <s v="42523"/>
    <s v="STIX1"/>
    <x v="1"/>
    <s v="Stix Charitable Fund"/>
    <n v="198508.83"/>
    <n v="0"/>
    <n v="-3441"/>
    <n v="4809.4799999999996"/>
    <n v="-2073.8200000000002"/>
    <n v="0"/>
    <n v="18.46"/>
    <n v="11182.82"/>
    <n v="-7.75"/>
    <n v="10.71"/>
    <n v="208997.02"/>
    <m/>
    <n v="16003.009999999998"/>
  </r>
  <r>
    <x v="5"/>
    <s v="42522"/>
    <s v="SMUKLE3"/>
    <x v="1"/>
    <s v="Smukler Fund"/>
    <n v="895920.91"/>
    <n v="0"/>
    <n v="-148500"/>
    <n v="20236.63"/>
    <n v="-8970.26"/>
    <n v="0"/>
    <n v="75.48"/>
    <n v="50339.8"/>
    <n v="-29.89"/>
    <n v="45.59"/>
    <n v="809072.67"/>
    <m/>
    <n v="70622.02"/>
  </r>
  <r>
    <x v="5"/>
    <s v="42520"/>
    <s v="SHECHT5"/>
    <x v="1"/>
    <s v="Shechtel Children's Fund"/>
    <n v="4943.45"/>
    <n v="0"/>
    <n v="0"/>
    <n v="119.14"/>
    <n v="-150"/>
    <n v="0"/>
    <n v="0.3"/>
    <n v="300.13"/>
    <n v="-0.04"/>
    <n v="0.26"/>
    <n v="5212.9799999999996"/>
    <m/>
    <n v="419.53"/>
  </r>
  <r>
    <x v="5"/>
    <s v="42519"/>
    <s v="SCHWAR33"/>
    <x v="1"/>
    <s v="Judith &amp; Martin Schwartz Family Charitable Trust"/>
    <n v="123235.03"/>
    <n v="9821.77"/>
    <n v="-21455"/>
    <n v="2837.46"/>
    <n v="-1268.3499999999999"/>
    <n v="0"/>
    <n v="10.75"/>
    <n v="6974.79"/>
    <n v="-4.45"/>
    <n v="6.3"/>
    <n v="120152"/>
    <m/>
    <n v="9818.5499999999993"/>
  </r>
  <r>
    <x v="5"/>
    <s v="42518"/>
    <s v="SCHNUR3"/>
    <x v="1"/>
    <s v="Schnur Family Philanthropic Fund"/>
    <n v="127214.03"/>
    <n v="0"/>
    <n v="-31000"/>
    <n v="2782.98"/>
    <n v="-1251.7"/>
    <n v="0"/>
    <n v="10.220000000000001"/>
    <n v="7409.19"/>
    <n v="-3.89"/>
    <n v="6.33"/>
    <n v="105160.83"/>
    <m/>
    <n v="10198.5"/>
  </r>
  <r>
    <x v="5"/>
    <s v="42516"/>
    <s v="SHAKUN1"/>
    <x v="1"/>
    <s v="Shakun &amp; Devery Family Fund"/>
    <n v="32608.73"/>
    <n v="20098.77"/>
    <n v="-6950"/>
    <n v="1134.93"/>
    <n v="-456.07"/>
    <n v="0"/>
    <n v="4.33"/>
    <n v="2335.91"/>
    <n v="-1.83"/>
    <n v="2.5"/>
    <n v="48774.77"/>
    <m/>
    <n v="3473.34"/>
  </r>
  <r>
    <x v="5"/>
    <s v="42515"/>
    <s v="SCHAEF7"/>
    <x v="1"/>
    <s v="Schaefer Family Philanthropic Fund"/>
    <n v="94456.11"/>
    <n v="23500"/>
    <n v="-27250"/>
    <n v="2251.27"/>
    <n v="-966.77"/>
    <n v="0"/>
    <n v="8.34"/>
    <n v="4627.87"/>
    <n v="-3.43"/>
    <n v="4.91"/>
    <n v="96623.39"/>
    <m/>
    <n v="6884.0499999999993"/>
  </r>
  <r>
    <x v="5"/>
    <s v="42514"/>
    <s v="KOHN6"/>
    <x v="2"/>
    <s v="RMK PACE Fund"/>
    <n v="100080.67"/>
    <n v="0"/>
    <n v="-4769"/>
    <n v="2323.36"/>
    <n v="-1008.24"/>
    <n v="0"/>
    <n v="8.92"/>
    <n v="5425.89"/>
    <n v="-3.77"/>
    <n v="5.15"/>
    <n v="102057.83"/>
    <m/>
    <n v="7754.4"/>
  </r>
  <r>
    <x v="5"/>
    <s v="42513"/>
    <s v="PIMLEY1"/>
    <x v="1"/>
    <s v="Oliver Jenson Pimley Tzedakah Fund"/>
    <n v="9095.25"/>
    <n v="0"/>
    <n v="0"/>
    <n v="220.62"/>
    <n v="-150"/>
    <n v="0"/>
    <n v="0.88"/>
    <n v="522.01"/>
    <n v="-0.39"/>
    <n v="0.49"/>
    <n v="9688.3700000000008"/>
    <m/>
    <n v="743.12"/>
  </r>
  <r>
    <x v="5"/>
    <s v="42512"/>
    <s v="PERLMA8"/>
    <x v="1"/>
    <s v="Bonnie and Richard Perlman Philanthropic Fund"/>
    <n v="9021.7199999999993"/>
    <n v="40196.54"/>
    <n v="-12650"/>
    <n v="868.89"/>
    <n v="-339.17"/>
    <n v="0"/>
    <n v="-16.66"/>
    <n v="924.38"/>
    <n v="-1.44"/>
    <n v="-18.100000000000001"/>
    <n v="38004.26"/>
    <m/>
    <n v="1775.17"/>
  </r>
  <r>
    <x v="5"/>
    <s v="42511"/>
    <s v="PERLMA7"/>
    <x v="1"/>
    <s v="B. Perlman Family Charitable Fund"/>
    <n v="3870.72"/>
    <n v="0"/>
    <n v="-2825"/>
    <n v="68.900000000000006"/>
    <n v="-150"/>
    <n v="0"/>
    <n v="0.24"/>
    <n v="252.54"/>
    <n v="-0.06"/>
    <n v="0.18"/>
    <n v="1217.3399999999999"/>
    <m/>
    <n v="321.62"/>
  </r>
  <r>
    <x v="5"/>
    <s v="42510"/>
    <s v="NEUMAN3"/>
    <x v="1"/>
    <s v="Jerry Neumann &amp; Naomi Richman Philanthropic Fund"/>
    <n v="123583.02"/>
    <n v="11122.5"/>
    <n v="-8035"/>
    <n v="2978.61"/>
    <n v="-1300.6400000000001"/>
    <n v="0"/>
    <n v="-19.350000000000001"/>
    <n v="6492.02"/>
    <n v="-5"/>
    <n v="-24.35"/>
    <n v="134816.16"/>
    <m/>
    <n v="9446.2800000000007"/>
  </r>
  <r>
    <x v="5"/>
    <s v="42509"/>
    <s v="MILLER147"/>
    <x v="1"/>
    <s v="Sue Ellen and David H. Miller Family Charitable Fund"/>
    <n v="16108.92"/>
    <n v="0"/>
    <n v="0"/>
    <n v="391.84"/>
    <n v="-168.29"/>
    <n v="0"/>
    <n v="1.54"/>
    <n v="902.11"/>
    <n v="-0.67"/>
    <n v="0.87"/>
    <n v="17235.45"/>
    <m/>
    <n v="1294.82"/>
  </r>
  <r>
    <x v="5"/>
    <s v="42508"/>
    <s v="KLATZK1"/>
    <x v="1"/>
    <s v="Clive and Audrey Klatzkin Family Philanthropic Fund"/>
    <n v="59978.35"/>
    <n v="0"/>
    <n v="-2000"/>
    <n v="1438.57"/>
    <n v="-621.86"/>
    <n v="0"/>
    <n v="5.54"/>
    <n v="3477.98"/>
    <n v="-2.33"/>
    <n v="3.21"/>
    <n v="62276.25"/>
    <m/>
    <n v="4919.76"/>
  </r>
  <r>
    <x v="5"/>
    <s v="42507"/>
    <s v="KALISH2"/>
    <x v="1"/>
    <s v="Peggy and Errol Kalish Philanthropic Fund"/>
    <n v="81629.08"/>
    <n v="0"/>
    <n v="-50000"/>
    <n v="1074.95"/>
    <n v="-594.70000000000005"/>
    <n v="0"/>
    <n v="3.14"/>
    <n v="3722.18"/>
    <n v="-1.34"/>
    <n v="1.8"/>
    <n v="35833.31"/>
    <m/>
    <n v="4798.93"/>
  </r>
  <r>
    <x v="5"/>
    <s v="42506"/>
    <s v="KAHN6"/>
    <x v="1"/>
    <s v="Kahn Family Philanthropic Fund"/>
    <n v="14363.51"/>
    <n v="11030.6"/>
    <n v="-11450"/>
    <n v="350.83"/>
    <n v="-150.38999999999999"/>
    <n v="0"/>
    <n v="1.33"/>
    <n v="901.59"/>
    <n v="-0.56999999999999995"/>
    <n v="0.76000000000000012"/>
    <n v="15046.9"/>
    <m/>
    <n v="1253.18"/>
  </r>
  <r>
    <x v="5"/>
    <s v="42505"/>
    <s v="HARRIS51"/>
    <x v="1"/>
    <s v="Sara Jane and Morris Harris Philanthropic Fund"/>
    <n v="102075.81"/>
    <n v="0"/>
    <n v="0"/>
    <n v="2482.89"/>
    <n v="-1066.3800000000001"/>
    <n v="0"/>
    <n v="9.52"/>
    <n v="5716.57"/>
    <n v="-4.01"/>
    <n v="5.51"/>
    <n v="109214.39999999999"/>
    <m/>
    <n v="8204.9699999999993"/>
  </r>
  <r>
    <x v="5"/>
    <s v="42504"/>
    <s v="GOODMA11"/>
    <x v="1"/>
    <s v="Goodman Family Philanthropic Fund"/>
    <n v="37720.400000000001"/>
    <n v="0"/>
    <n v="0"/>
    <n v="917.52"/>
    <n v="-394.07"/>
    <n v="0"/>
    <n v="3.54"/>
    <n v="2112.54"/>
    <n v="-1.51"/>
    <n v="2.0300000000000002"/>
    <n v="40358.42"/>
    <m/>
    <n v="3032.09"/>
  </r>
  <r>
    <x v="5"/>
    <s v="42503"/>
    <s v="GOLDMA21"/>
    <x v="1"/>
    <s v="Debby and Peter Goldman Fund"/>
    <n v="190470.9"/>
    <n v="0"/>
    <n v="0"/>
    <n v="4633.0600000000004"/>
    <n v="-1989.85"/>
    <n v="0"/>
    <n v="17.77"/>
    <n v="10666.95"/>
    <n v="-7.5"/>
    <n v="10.27"/>
    <n v="203791.33"/>
    <m/>
    <n v="15310.280000000002"/>
  </r>
  <r>
    <x v="5"/>
    <s v="42502"/>
    <s v="GLAZER1"/>
    <x v="1"/>
    <s v="Richard M. Glazer Philanthropic Fund"/>
    <n v="23569.4"/>
    <n v="0"/>
    <n v="-1530"/>
    <n v="543"/>
    <n v="-236.36"/>
    <n v="0"/>
    <n v="2.11"/>
    <n v="1296.49"/>
    <n v="-0.91"/>
    <n v="1.1999999999999997"/>
    <n v="23643.73"/>
    <m/>
    <n v="1840.69"/>
  </r>
  <r>
    <x v="5"/>
    <s v="42499"/>
    <s v="FELDMA13"/>
    <x v="1"/>
    <s v="Talia Feldman Fund for Tzedakah"/>
    <n v="11722.46"/>
    <n v="0"/>
    <n v="0"/>
    <n v="284.76"/>
    <n v="-150"/>
    <n v="0"/>
    <n v="1.1200000000000001"/>
    <n v="662.36"/>
    <n v="-0.49"/>
    <n v="0.63000000000000012"/>
    <n v="12520.21"/>
    <m/>
    <n v="947.75"/>
  </r>
  <r>
    <x v="5"/>
    <s v="42498"/>
    <s v="FANNIN3"/>
    <x v="1"/>
    <s v="Lillian and Arthur Fanning Memorial Fund"/>
    <n v="48866.09"/>
    <n v="0"/>
    <n v="-7200"/>
    <n v="1115.25"/>
    <n v="-493.46"/>
    <n v="0"/>
    <n v="4.24"/>
    <n v="3164.99"/>
    <n v="-1.72"/>
    <n v="2.5200000000000005"/>
    <n v="45455.39"/>
    <m/>
    <n v="4282.76"/>
  </r>
  <r>
    <x v="5"/>
    <s v="42497"/>
    <s v="FAMILA1"/>
    <x v="1"/>
    <s v="Rosalind &quot;Mimi&quot; and Aaron &quot;Poppy&quot; Familant Fund"/>
    <n v="18716.45"/>
    <n v="0"/>
    <n v="-1000"/>
    <n v="437.98"/>
    <n v="-190.45"/>
    <n v="0"/>
    <n v="1.7"/>
    <n v="1047.53"/>
    <n v="-0.74"/>
    <n v="0.96"/>
    <n v="19012.47"/>
    <m/>
    <n v="1486.47"/>
  </r>
  <r>
    <x v="5"/>
    <s v="42496"/>
    <s v="ENTIN1"/>
    <x v="1"/>
    <s v="Sadie and Leon Entin Memorial Fund"/>
    <n v="9613.0499999999993"/>
    <n v="0"/>
    <n v="-500"/>
    <n v="221.6"/>
    <n v="-150"/>
    <n v="0"/>
    <n v="0.89"/>
    <n v="532.12"/>
    <n v="-0.4"/>
    <n v="0.49"/>
    <n v="9717.26"/>
    <m/>
    <n v="754.21"/>
  </r>
  <r>
    <x v="5"/>
    <s v="42495"/>
    <s v="EGGER2"/>
    <x v="1"/>
    <s v="Audrey and David Egger Charitable Fund"/>
    <n v="14971.02"/>
    <n v="53651.4"/>
    <n v="-17000"/>
    <n v="761.52"/>
    <n v="-265.45"/>
    <n v="0"/>
    <n v="-1457.11"/>
    <n v="135.76"/>
    <n v="-1.55"/>
    <n v="-1458.6599999999999"/>
    <n v="50795.59"/>
    <m/>
    <n v="-561.37999999999988"/>
  </r>
  <r>
    <x v="5"/>
    <s v="42494"/>
    <s v="COHEN57"/>
    <x v="1"/>
    <s v="Janet and Howard Cohen Philanthropic Fund"/>
    <n v="47913.02"/>
    <n v="0"/>
    <n v="-1980"/>
    <n v="1132.3399999999999"/>
    <n v="-491.29"/>
    <n v="0"/>
    <n v="4.32"/>
    <n v="2664.22"/>
    <n v="-1.82"/>
    <n v="2.5"/>
    <n v="49240.79"/>
    <m/>
    <n v="3799.0599999999995"/>
  </r>
  <r>
    <x v="5"/>
    <s v="42493"/>
    <s v="BURNS15"/>
    <x v="1"/>
    <s v="Joseph Burns Fund"/>
    <n v="16814.009999999998"/>
    <n v="2500"/>
    <n v="0"/>
    <n v="433.98"/>
    <n v="-181.86"/>
    <n v="0"/>
    <n v="1.72"/>
    <n v="907.97"/>
    <n v="-0.77"/>
    <n v="0.95"/>
    <n v="20475.05"/>
    <m/>
    <n v="1342.9"/>
  </r>
  <r>
    <x v="5"/>
    <s v="42492"/>
    <s v="BERMAN14"/>
    <x v="1"/>
    <s v="Ronald and Marie Berman Philanthropic Fund"/>
    <n v="20615.990000000002"/>
    <n v="0"/>
    <n v="-3100"/>
    <n v="441.75"/>
    <n v="-191.33"/>
    <n v="0"/>
    <n v="1.68"/>
    <n v="1053.48"/>
    <n v="-0.73"/>
    <n v="0.95"/>
    <n v="18820.84"/>
    <m/>
    <n v="1496.18"/>
  </r>
  <r>
    <x v="5"/>
    <s v="42491"/>
    <s v="BERGER10"/>
    <x v="1"/>
    <s v="Samuel S. and Regina Berger Charitable Fund"/>
    <n v="11554.63"/>
    <n v="0"/>
    <n v="-1000"/>
    <n v="261.7"/>
    <n v="-150"/>
    <n v="0"/>
    <n v="1.02"/>
    <n v="627.76"/>
    <n v="-0.45"/>
    <n v="0.57000000000000006"/>
    <n v="11294.66"/>
    <m/>
    <n v="890.03000000000009"/>
  </r>
  <r>
    <x v="5"/>
    <s v="42490"/>
    <s v="AXELRO4"/>
    <x v="1"/>
    <s v="Axelrod Family Fund"/>
    <n v="62293.85"/>
    <n v="0"/>
    <n v="-4100"/>
    <n v="1476.26"/>
    <n v="-641.74"/>
    <n v="0"/>
    <n v="5.63"/>
    <n v="3507.95"/>
    <n v="-2.33"/>
    <n v="3.3"/>
    <n v="62539.62"/>
    <m/>
    <n v="4987.51"/>
  </r>
  <r>
    <x v="5"/>
    <s v="42489"/>
    <s v="APPLES1"/>
    <x v="1"/>
    <s v="Louis Applestein Memorial Fund"/>
    <n v="27860.12"/>
    <n v="0"/>
    <n v="0"/>
    <n v="677.67"/>
    <n v="-291.06"/>
    <n v="0"/>
    <n v="2.64"/>
    <n v="1560.32"/>
    <n v="-1.1399999999999999"/>
    <n v="1.5000000000000002"/>
    <n v="29808.55"/>
    <m/>
    <n v="2239.4899999999998"/>
  </r>
  <r>
    <x v="5"/>
    <s v="42488"/>
    <s v="ANSHEN1"/>
    <x v="1"/>
    <s v="Rose Perlman Anshen and Harold Anshen Memorial Fund"/>
    <n v="29203.88"/>
    <n v="0"/>
    <n v="-3000"/>
    <n v="655.7"/>
    <n v="-289.61"/>
    <n v="0"/>
    <n v="2.4900000000000002"/>
    <n v="1584.54"/>
    <n v="-1.07"/>
    <n v="1.4200000000000002"/>
    <n v="28155.93"/>
    <m/>
    <n v="2241.66"/>
  </r>
  <r>
    <x v="5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6"/>
    <s v="88609"/>
    <s v="TEMPLE47"/>
    <x v="0"/>
    <s v="Temple Beth-El's Capital Reserve Fund"/>
    <n v="104547.83"/>
    <n v="0"/>
    <n v="-36428"/>
    <n v="1937.6"/>
    <n v="-1038.98"/>
    <n v="0"/>
    <n v="0"/>
    <n v="1229.07"/>
    <n v="0"/>
    <n v="0"/>
    <n v="70247.520000000019"/>
    <m/>
    <n v="3166.67"/>
  </r>
  <r>
    <x v="6"/>
    <s v="80039"/>
    <s v="SARIF1"/>
    <x v="1"/>
    <s v="Sari Feldman Charitable Fund"/>
    <n v="4342.22"/>
    <n v="0"/>
    <n v="0"/>
    <n v="79.739999999999995"/>
    <n v="-150"/>
    <n v="0"/>
    <n v="-0.19"/>
    <n v="84.91"/>
    <n v="0.19"/>
    <n v="0"/>
    <n v="4356.87"/>
    <m/>
    <n v="164.64999999999998"/>
  </r>
  <r>
    <x v="6"/>
    <s v="79952"/>
    <s v="ALPERI10"/>
    <x v="1"/>
    <s v="Alperin-Sheriff Family Fund"/>
    <n v="25324.55"/>
    <n v="0"/>
    <n v="-17195"/>
    <n v="256.97000000000003"/>
    <n v="-196.7"/>
    <n v="0"/>
    <n v="-0.55000000000000004"/>
    <n v="-280.26"/>
    <n v="0.55000000000000004"/>
    <n v="0"/>
    <n v="7909.5599999999986"/>
    <m/>
    <n v="-23.289999999999964"/>
  </r>
  <r>
    <x v="6"/>
    <s v="79950"/>
    <s v="GLUCK13"/>
    <x v="1"/>
    <s v="Rabbi Arnold S. Gluck and Sarah R. Gluck Family Fund"/>
    <n v="7664.14"/>
    <n v="0"/>
    <n v="-360"/>
    <n v="135.13"/>
    <n v="-150"/>
    <n v="0"/>
    <n v="-0.31"/>
    <n v="152.44999999999999"/>
    <n v="0.31"/>
    <n v="0"/>
    <n v="7441.72"/>
    <m/>
    <n v="287.58"/>
  </r>
  <r>
    <x v="6"/>
    <s v="73981"/>
    <s v="BRENT4"/>
    <x v="1"/>
    <s v="The Brent Family Fund"/>
    <n v="15427.35"/>
    <n v="0"/>
    <n v="-7213"/>
    <n v="260.49"/>
    <n v="-153.26"/>
    <n v="0"/>
    <n v="-0.61"/>
    <n v="-19.14"/>
    <n v="0.61"/>
    <n v="0"/>
    <n v="8302.44"/>
    <m/>
    <n v="241.35000000000002"/>
  </r>
  <r>
    <x v="6"/>
    <s v="73978"/>
    <s v="SUSSMA3"/>
    <x v="1"/>
    <s v="Sussman Schnur Gratitude Fund"/>
    <n v="14511.71"/>
    <n v="0"/>
    <n v="-12000"/>
    <n v="107.67"/>
    <n v="-150"/>
    <n v="0"/>
    <n v="-0.56000000000000005"/>
    <n v="-287.08999999999997"/>
    <n v="0.56000000000000005"/>
    <n v="0"/>
    <n v="2182.2899999999991"/>
    <m/>
    <n v="-179.41999999999996"/>
  </r>
  <r>
    <x v="6"/>
    <s v="72136"/>
    <s v="APPLES2"/>
    <x v="2"/>
    <s v="The Anice Applestein Fund"/>
    <n v="389698.86"/>
    <n v="0"/>
    <n v="-15266"/>
    <n v="6967.52"/>
    <n v="-3761.45"/>
    <n v="0"/>
    <n v="-14.27"/>
    <n v="7956.88"/>
    <n v="14.27"/>
    <n v="0"/>
    <n v="385595.81"/>
    <m/>
    <n v="14924.400000000001"/>
  </r>
  <r>
    <x v="6"/>
    <s v="72135"/>
    <s v="FELDST5"/>
    <x v="1"/>
    <s v="The Ruth and Nathan Feldstein Israel Travel Scholarship"/>
    <n v="51504.61"/>
    <n v="3600"/>
    <n v="-3000"/>
    <n v="957.89"/>
    <n v="-520.73"/>
    <n v="0"/>
    <n v="-1.89"/>
    <n v="1310.3900000000001"/>
    <n v="1.89"/>
    <n v="0"/>
    <n v="53852.159999999996"/>
    <m/>
    <n v="2268.2800000000002"/>
  </r>
  <r>
    <x v="6"/>
    <s v="71829"/>
    <s v="DREIER2"/>
    <x v="1"/>
    <s v="Sandra H. and William A. Dreier Charitable Trust"/>
    <n v="108491.51"/>
    <n v="0"/>
    <n v="0"/>
    <n v="2013.11"/>
    <n v="-1078.18"/>
    <n v="0"/>
    <n v="-3.99"/>
    <n v="2210.62"/>
    <n v="3.99"/>
    <n v="0"/>
    <n v="111637.06"/>
    <m/>
    <n v="4223.7299999999996"/>
  </r>
  <r>
    <x v="6"/>
    <s v="71543"/>
    <s v="GROSSM25"/>
    <x v="1"/>
    <s v="The Amy Marlene Grossman Memorial Fund"/>
    <n v="9483.49"/>
    <n v="250"/>
    <n v="-2972"/>
    <n v="140.09"/>
    <n v="-150"/>
    <n v="0"/>
    <n v="-0.28000000000000003"/>
    <n v="104.38"/>
    <n v="0.28000000000000003"/>
    <n v="0"/>
    <n v="6855.96"/>
    <m/>
    <n v="244.47"/>
  </r>
  <r>
    <x v="6"/>
    <s v="70511"/>
    <s v="SACHS4"/>
    <x v="1"/>
    <s v="The Renee Lisse Sachs (nee Lyszka) Charitable Contribution Fund for the Benefit of Humanity"/>
    <n v="12555.1"/>
    <n v="27000"/>
    <n v="-6715"/>
    <n v="321.2"/>
    <n v="-199.01"/>
    <n v="0"/>
    <n v="-0.49"/>
    <n v="1189.77"/>
    <n v="0.49"/>
    <n v="0"/>
    <n v="34152.05999999999"/>
    <m/>
    <n v="1510.97"/>
  </r>
  <r>
    <x v="6"/>
    <s v="70509"/>
    <s v="RUBIN18"/>
    <x v="1"/>
    <s v="Amy E. and Kenneth A. Rubin Philanthropic Fund"/>
    <n v="9008.0300000000007"/>
    <n v="0"/>
    <n v="-1000"/>
    <n v="166.61"/>
    <n v="-150"/>
    <n v="0"/>
    <n v="-0.37"/>
    <n v="156.84"/>
    <n v="0.37"/>
    <n v="0"/>
    <n v="8181.4800000000005"/>
    <m/>
    <n v="323.45000000000005"/>
  </r>
  <r>
    <x v="6"/>
    <s v="70466"/>
    <s v="SMALL10"/>
    <x v="2"/>
    <s v="The Small Family Fund"/>
    <n v="19565.09"/>
    <n v="0"/>
    <n v="-3000"/>
    <n v="353.56"/>
    <n v="-190.32999999999998"/>
    <n v="0"/>
    <n v="-0.76"/>
    <n v="204.45"/>
    <n v="0.76"/>
    <n v="0"/>
    <n v="16932.77"/>
    <m/>
    <n v="558.01"/>
  </r>
  <r>
    <x v="6"/>
    <s v="66878"/>
    <s v="WALLAC38"/>
    <x v="2"/>
    <s v="Robin Liebmann Wallack Fund"/>
    <n v="199114.98"/>
    <n v="100000"/>
    <n v="-7000"/>
    <n v="4926.6099999999997"/>
    <n v="-2437.5699999999997"/>
    <n v="0"/>
    <n v="-7.34"/>
    <n v="11053.02"/>
    <n v="7.34"/>
    <n v="0"/>
    <n v="305657.03999999998"/>
    <m/>
    <n v="15979.630000000001"/>
  </r>
  <r>
    <x v="6"/>
    <s v="66877"/>
    <s v="WALLAC37"/>
    <x v="2"/>
    <s v="Wallack Family Fund"/>
    <n v="178715.18"/>
    <n v="24913.4"/>
    <n v="-21000"/>
    <n v="3290.69"/>
    <n v="-1749.93"/>
    <n v="0"/>
    <n v="-6.59"/>
    <n v="5404.87"/>
    <n v="6.59"/>
    <n v="0"/>
    <n v="189574.21"/>
    <m/>
    <n v="8695.56"/>
  </r>
  <r>
    <x v="6"/>
    <s v="66851"/>
    <s v="PORTER29"/>
    <x v="1"/>
    <s v="The Porter Family Donor Advised Fund"/>
    <n v="14575.52"/>
    <n v="0"/>
    <n v="0"/>
    <n v="270.39"/>
    <n v="-150"/>
    <n v="0"/>
    <n v="-0.55000000000000004"/>
    <n v="296.8"/>
    <n v="0.55000000000000004"/>
    <n v="0"/>
    <n v="14992.71"/>
    <m/>
    <n v="567.19000000000005"/>
  </r>
  <r>
    <x v="6"/>
    <s v="66850"/>
    <s v="MEYERS19"/>
    <x v="1"/>
    <s v="The Help Someone Fund"/>
    <n v="11620.38"/>
    <n v="286"/>
    <n v="-2240"/>
    <n v="191.43"/>
    <n v="-150"/>
    <n v="0"/>
    <n v="-0.3"/>
    <n v="177.96"/>
    <n v="0.3"/>
    <n v="0"/>
    <n v="9885.7699999999986"/>
    <m/>
    <n v="369.39"/>
  </r>
  <r>
    <x v="6"/>
    <s v="65383"/>
    <s v="VDOR1"/>
    <x v="3"/>
    <s v="Jewish Community Foundation of Greater Mercer L'Dor V'Dor Fund"/>
    <n v="22213.03"/>
    <n v="0"/>
    <n v="0"/>
    <n v="412.16"/>
    <n v="-164.36"/>
    <n v="0"/>
    <n v="-0.85"/>
    <n v="452.65"/>
    <n v="0.85"/>
    <n v="0"/>
    <n v="22913.48"/>
    <m/>
    <n v="864.81"/>
  </r>
  <r>
    <x v="6"/>
    <s v="65382"/>
    <s v="KRAMER24"/>
    <x v="0"/>
    <s v="JCC of the Delaware Valley - Kramer Fund Restricted"/>
    <n v="10008.98"/>
    <n v="0"/>
    <n v="0"/>
    <n v="185.32"/>
    <n v="-150"/>
    <n v="0"/>
    <n v="-0.4"/>
    <n v="202.36"/>
    <n v="0.4"/>
    <n v="0"/>
    <n v="10246.66"/>
    <m/>
    <n v="387.68"/>
  </r>
  <r>
    <x v="6"/>
    <s v="65381"/>
    <s v="SZWALB1"/>
    <x v="0"/>
    <s v="JCC of the Delaware Valley - Shelly &amp; Ben Szwalbenest Fund"/>
    <n v="3902.94"/>
    <n v="0"/>
    <n v="0"/>
    <n v="71.489999999999995"/>
    <n v="-150"/>
    <n v="0"/>
    <n v="-0.17"/>
    <n v="75.89"/>
    <n v="0.17"/>
    <n v="0"/>
    <n v="3900.3199999999997"/>
    <m/>
    <n v="147.38"/>
  </r>
  <r>
    <x v="6"/>
    <s v="65380"/>
    <s v="COHEN105"/>
    <x v="0"/>
    <s v="JCC of the Delaware Valley - Seymour Cohen Early Childhood Fund"/>
    <n v="12103.02"/>
    <n v="0"/>
    <n v="0"/>
    <n v="224.33"/>
    <n v="-150"/>
    <n v="0"/>
    <n v="-0.48"/>
    <n v="245.73"/>
    <n v="0.48"/>
    <n v="0"/>
    <n v="12423.08"/>
    <m/>
    <n v="470.06"/>
  </r>
  <r>
    <x v="6"/>
    <s v="65379"/>
    <s v="KRAMER23"/>
    <x v="0"/>
    <s v="JCC of the Delaware Valley - Kramer Fund Interest for Cultural Activities"/>
    <n v="14585.61"/>
    <n v="0"/>
    <n v="-2000"/>
    <n v="235.86"/>
    <n v="-150"/>
    <n v="0"/>
    <n v="-0.59"/>
    <n v="277.58999999999997"/>
    <n v="0.59"/>
    <n v="0"/>
    <n v="12949.060000000001"/>
    <m/>
    <n v="513.45000000000005"/>
  </r>
  <r>
    <x v="6"/>
    <s v="65162"/>
    <s v="WINKLE17"/>
    <x v="2"/>
    <s v="Cecelia Ruth Winkler M.A.H. &amp; Paul Barry Winkler Ed. D. Endowment - Cafe Europa Fund"/>
    <n v="8980.1299999999992"/>
    <n v="0"/>
    <n v="-357"/>
    <n v="159.96"/>
    <n v="-150"/>
    <n v="0"/>
    <n v="-0.37"/>
    <n v="181.19"/>
    <n v="0.37"/>
    <n v="0"/>
    <n v="8814.2799999999988"/>
    <m/>
    <n v="341.15"/>
  </r>
  <r>
    <x v="6"/>
    <s v="64981"/>
    <s v="EMES1"/>
    <x v="0"/>
    <s v="Congregation Toras Emes Life &amp; Legacy Endowment Fund"/>
    <n v="11987.93"/>
    <n v="0"/>
    <n v="0"/>
    <n v="222.44"/>
    <n v="-119.13"/>
    <n v="0"/>
    <n v="-0.48"/>
    <n v="244.32"/>
    <n v="0.48"/>
    <n v="0"/>
    <n v="12335.560000000001"/>
    <m/>
    <n v="466.76"/>
  </r>
  <r>
    <x v="6"/>
    <s v="62677"/>
    <s v="BORKAN1"/>
    <x v="1"/>
    <s v="The Harold Borkan Fund"/>
    <n v="29310.45"/>
    <n v="0"/>
    <n v="-600"/>
    <n v="533.09"/>
    <n v="-286.88"/>
    <n v="0"/>
    <n v="-1.1200000000000001"/>
    <n v="595.24"/>
    <n v="1.1200000000000001"/>
    <n v="0"/>
    <n v="29551.9"/>
    <m/>
    <n v="1128.33"/>
  </r>
  <r>
    <x v="6"/>
    <s v="62661"/>
    <s v="HANAHA2"/>
    <x v="0"/>
    <s v="Kehilat HaNahar LIFE &amp; LEGACY Endowment Fund"/>
    <n v="11991.18"/>
    <n v="0"/>
    <n v="0"/>
    <n v="222.49"/>
    <n v="-119.17"/>
    <n v="0"/>
    <n v="-0.48"/>
    <n v="244.43"/>
    <n v="0.48"/>
    <n v="0"/>
    <n v="12338.93"/>
    <m/>
    <n v="466.92"/>
  </r>
  <r>
    <x v="6"/>
    <s v="60352"/>
    <s v="TJCCA1"/>
    <x v="2"/>
    <s v="TJCCA Designated Fund"/>
    <n v="341721.96"/>
    <n v="0"/>
    <n v="0"/>
    <n v="6340.82"/>
    <n v="-3395.99"/>
    <n v="0"/>
    <n v="-12.6"/>
    <n v="6963.1"/>
    <n v="12.6"/>
    <n v="0"/>
    <n v="351629.89"/>
    <m/>
    <n v="13303.92"/>
  </r>
  <r>
    <x v="6"/>
    <s v="56537"/>
    <s v="UJFPMB6"/>
    <x v="0"/>
    <s v="JFPMB LIFE &amp; LEGACY Endowment Fund"/>
    <n v="7437.95"/>
    <n v="0"/>
    <n v="0"/>
    <n v="138.03"/>
    <n v="-73.92"/>
    <n v="0"/>
    <n v="-0.32"/>
    <n v="151.55000000000001"/>
    <n v="0.32"/>
    <n v="0"/>
    <n v="7653.61"/>
    <m/>
    <n v="289.58000000000004"/>
  </r>
  <r>
    <x v="6"/>
    <s v="56365"/>
    <s v="FREEMA39"/>
    <x v="1"/>
    <s v="Herbert and Joan Freeman Fund"/>
    <n v="20796.71"/>
    <n v="18164.25"/>
    <n v="-15110"/>
    <n v="232.6"/>
    <n v="-180.49"/>
    <n v="0"/>
    <n v="81.73"/>
    <n v="-303.68"/>
    <n v="0.79"/>
    <n v="82.52000000000001"/>
    <n v="23681.909999999996"/>
    <m/>
    <n v="11.439999999999998"/>
  </r>
  <r>
    <x v="6"/>
    <s v="56131"/>
    <s v="VILKO1"/>
    <x v="1"/>
    <s v="Vilko Fund"/>
    <n v="63391.62"/>
    <n v="60997.2"/>
    <n v="-82972"/>
    <n v="871.29"/>
    <n v="-508.11"/>
    <n v="0"/>
    <n v="-45.06"/>
    <n v="1792.73"/>
    <n v="0.54"/>
    <n v="-44.52"/>
    <n v="43528.210000000014"/>
    <m/>
    <n v="2619.5"/>
  </r>
  <r>
    <x v="6"/>
    <s v="56088"/>
    <s v="HEBREW4"/>
    <x v="0"/>
    <s v="Hebrew Free Loan Program Fund"/>
    <n v="13042.68"/>
    <n v="0"/>
    <n v="0"/>
    <n v="241.84"/>
    <n v="-150"/>
    <n v="0"/>
    <n v="-0.51"/>
    <n v="265.14"/>
    <n v="0.51"/>
    <n v="0"/>
    <n v="13399.66"/>
    <m/>
    <n v="506.98"/>
  </r>
  <r>
    <x v="6"/>
    <s v="56037"/>
    <s v="MEISEL4"/>
    <x v="1"/>
    <s v="The Andrew, Louisa, &amp; Owen Meisel Tzedakah"/>
    <n v="7711.47"/>
    <n v="0"/>
    <n v="0"/>
    <n v="142.51"/>
    <n v="-150"/>
    <n v="0"/>
    <n v="-0.32"/>
    <n v="154.69999999999999"/>
    <n v="0.32"/>
    <n v="0"/>
    <n v="7858.68"/>
    <m/>
    <n v="297.20999999999998"/>
  </r>
  <r>
    <x v="6"/>
    <s v="55648"/>
    <s v="BLICK1"/>
    <x v="1"/>
    <s v="Art &amp; Lauren Blick Donor Advised Fund"/>
    <n v="2697.43"/>
    <n v="14680.35"/>
    <n v="-11864.57"/>
    <n v="140.32"/>
    <n v="-152.80000000000001"/>
    <n v="0"/>
    <n v="-106.61"/>
    <n v="221.46"/>
    <n v="0.12"/>
    <n v="-106.49"/>
    <n v="5615.6999999999989"/>
    <m/>
    <n v="255.28999999999996"/>
  </r>
  <r>
    <x v="6"/>
    <s v="55401"/>
    <s v="KATZ110"/>
    <x v="1"/>
    <s v="Katz / Kurinsky Philanthropic Fund"/>
    <n v="14600.86"/>
    <n v="0"/>
    <n v="-7105"/>
    <n v="189.15"/>
    <n v="-150"/>
    <n v="0"/>
    <n v="-0.56999999999999995"/>
    <n v="168.88"/>
    <n v="0.56999999999999995"/>
    <n v="0"/>
    <n v="7703.89"/>
    <m/>
    <n v="358.03"/>
  </r>
  <r>
    <x v="6"/>
    <s v="55245"/>
    <s v="GORDON47"/>
    <x v="1"/>
    <s v="Gordon Community Fund"/>
    <n v="53681.7"/>
    <n v="14068.5"/>
    <n v="-18750"/>
    <n v="1083.17"/>
    <n v="-562.57999999999993"/>
    <n v="0"/>
    <n v="-29.66"/>
    <n v="1212.05"/>
    <n v="1.1200000000000001"/>
    <n v="-28.54"/>
    <n v="50704.299999999996"/>
    <m/>
    <n v="2266.6800000000003"/>
  </r>
  <r>
    <x v="6"/>
    <s v="55070"/>
    <s v="KRAKAU1"/>
    <x v="1"/>
    <s v="Krakauer Fund"/>
    <n v="32300.37"/>
    <n v="200000"/>
    <n v="-56460"/>
    <n v="2252.65"/>
    <n v="-1149.9099999999999"/>
    <n v="0"/>
    <n v="-0.64"/>
    <n v="6923.24"/>
    <n v="0.64"/>
    <n v="0"/>
    <n v="183866.34999999998"/>
    <m/>
    <n v="9175.89"/>
  </r>
  <r>
    <x v="6"/>
    <s v="49564"/>
    <s v="JFCS3"/>
    <x v="0"/>
    <s v="JFCS of Greater Mercer County First LIFE &amp; LEGACY Endowment Fund"/>
    <n v="11934.48"/>
    <n v="3550"/>
    <n v="0"/>
    <n v="279.58"/>
    <n v="-142.97"/>
    <n v="0"/>
    <n v="-0.48"/>
    <n v="235.36"/>
    <n v="0.48"/>
    <n v="0"/>
    <n v="15856.45"/>
    <m/>
    <n v="514.94000000000005"/>
  </r>
  <r>
    <x v="6"/>
    <s v="49536"/>
    <s v="CHADAS1"/>
    <x v="0"/>
    <s v="Or Chadash LIFE &amp; LEGACY Endowment Fund"/>
    <n v="26371.73"/>
    <n v="4800"/>
    <n v="0"/>
    <n v="550.22"/>
    <n v="-287.97000000000003"/>
    <n v="0"/>
    <n v="-0.97"/>
    <n v="482.8"/>
    <n v="0.97"/>
    <n v="0"/>
    <n v="31916.78"/>
    <m/>
    <n v="1033.02"/>
  </r>
  <r>
    <x v="6"/>
    <s v="49525"/>
    <s v="BETHCH1"/>
    <x v="0"/>
    <s v="Beth Chaim LIFE &amp; LEGACY Endowment Fund"/>
    <n v="11764.52"/>
    <n v="0"/>
    <n v="0"/>
    <n v="218.29"/>
    <n v="-116.91"/>
    <n v="0"/>
    <n v="-0.47"/>
    <n v="239.76"/>
    <n v="0.47"/>
    <n v="0"/>
    <n v="12105.660000000002"/>
    <m/>
    <n v="458.04999999999995"/>
  </r>
  <r>
    <x v="6"/>
    <s v="49524"/>
    <s v="ADATH1"/>
    <x v="0"/>
    <s v="Adath Israel LIFE &amp; LEGACY Endowment Fund"/>
    <n v="7014.46"/>
    <n v="0"/>
    <n v="0"/>
    <n v="130.18"/>
    <n v="-69.72"/>
    <n v="0"/>
    <n v="-0.3"/>
    <n v="142.97"/>
    <n v="0.3"/>
    <n v="0"/>
    <n v="7217.89"/>
    <m/>
    <n v="273.14999999999998"/>
  </r>
  <r>
    <x v="6"/>
    <s v="49304"/>
    <s v="JEWISH28"/>
    <x v="0"/>
    <s v="Jewish Center of Princeton Endowment Fund"/>
    <n v="96026.08"/>
    <n v="6000"/>
    <n v="0"/>
    <n v="1859.76"/>
    <n v="-987.27"/>
    <n v="0"/>
    <n v="-3.37"/>
    <n v="2063.5"/>
    <n v="3.37"/>
    <n v="0"/>
    <n v="104962.06999999999"/>
    <m/>
    <n v="3923.26"/>
  </r>
  <r>
    <x v="6"/>
    <s v="49253"/>
    <s v="DAVIDS14"/>
    <x v="1"/>
    <s v="The DADA Fund"/>
    <n v="14917.9"/>
    <n v="0"/>
    <n v="-1200"/>
    <n v="266.95999999999998"/>
    <n v="-150.12"/>
    <n v="0"/>
    <n v="-0.59"/>
    <n v="275.24"/>
    <n v="0.59"/>
    <n v="0"/>
    <n v="14109.979999999998"/>
    <m/>
    <n v="542.20000000000005"/>
  </r>
  <r>
    <x v="6"/>
    <s v="49131"/>
    <s v="MICHAE8"/>
    <x v="1"/>
    <s v="Manning &amp; Hoffman-Manning Charitable Fund"/>
    <n v="6983.44"/>
    <n v="0"/>
    <n v="0"/>
    <n v="128.96"/>
    <n v="-150"/>
    <n v="0"/>
    <n v="-0.3"/>
    <n v="139.68"/>
    <n v="0.3"/>
    <n v="0"/>
    <n v="7102.08"/>
    <m/>
    <n v="268.64"/>
  </r>
  <r>
    <x v="6"/>
    <s v="48855"/>
    <s v="MEISEL2"/>
    <x v="1"/>
    <s v="Zachary, Ava &amp; Stella Kovner Meisel Tzedkah Fund"/>
    <n v="6837.37"/>
    <n v="0"/>
    <n v="0"/>
    <n v="126.21"/>
    <n v="-150"/>
    <n v="0"/>
    <n v="-0.28999999999999998"/>
    <n v="136.59"/>
    <n v="0.28999999999999998"/>
    <n v="0"/>
    <n v="6950.17"/>
    <m/>
    <n v="262.8"/>
  </r>
  <r>
    <x v="6"/>
    <s v="48533"/>
    <s v="SNOW3"/>
    <x v="1"/>
    <s v="Nagelberg Philanthropic Fund"/>
    <n v="9897.84"/>
    <n v="0"/>
    <n v="0"/>
    <n v="183.23"/>
    <n v="-150"/>
    <n v="0"/>
    <n v="-0.4"/>
    <n v="200.03"/>
    <n v="0.4"/>
    <n v="0"/>
    <n v="10131.1"/>
    <m/>
    <n v="383.26"/>
  </r>
  <r>
    <x v="6"/>
    <s v="48355"/>
    <s v="FREEMA17"/>
    <x v="1"/>
    <s v="Marsha &amp; Eliot Freeman Family Fund"/>
    <n v="59577.66"/>
    <n v="0"/>
    <n v="0"/>
    <n v="1105.5"/>
    <n v="-592.06999999999994"/>
    <n v="0"/>
    <n v="-2.21"/>
    <n v="1213.95"/>
    <n v="2.21"/>
    <n v="0"/>
    <n v="61305.04"/>
    <m/>
    <n v="2319.4499999999998"/>
  </r>
  <r>
    <x v="6"/>
    <s v="48196"/>
    <s v="JEWISH27"/>
    <x v="3"/>
    <s v="Jewish Community Foundation of Greater Mercer LIFE &amp; LEGACY Endowment Fund"/>
    <n v="57813.77"/>
    <n v="0"/>
    <n v="-3141"/>
    <n v="1018.86"/>
    <n v="-412.75"/>
    <n v="0"/>
    <n v="-1.9"/>
    <n v="1191.92"/>
    <n v="1.9"/>
    <n v="0"/>
    <n v="56470.799999999996"/>
    <m/>
    <n v="2210.7800000000002"/>
  </r>
  <r>
    <x v="6"/>
    <s v="47872"/>
    <s v="WALDOR1"/>
    <x v="1"/>
    <s v="Berman-Waldorf Family Fund"/>
    <n v="3139.18"/>
    <n v="0"/>
    <n v="-1530"/>
    <n v="43.9"/>
    <n v="-150"/>
    <n v="0"/>
    <n v="-0.11"/>
    <n v="-4.0599999999999996"/>
    <n v="0.11"/>
    <n v="0"/>
    <n v="1499.02"/>
    <m/>
    <n v="39.839999999999996"/>
  </r>
  <r>
    <x v="6"/>
    <s v="47724"/>
    <s v="SNOW2"/>
    <x v="1"/>
    <s v="Snow - Nagelberg Philanthropic Fund"/>
    <n v="31265.9"/>
    <n v="0"/>
    <n v="-11500"/>
    <n v="437.14"/>
    <n v="-249.76999999999998"/>
    <n v="0"/>
    <n v="-1.1599999999999999"/>
    <n v="425.58"/>
    <n v="1.1599999999999999"/>
    <n v="0"/>
    <n v="20378.850000000002"/>
    <m/>
    <n v="862.72"/>
  </r>
  <r>
    <x v="6"/>
    <s v="47350"/>
    <s v="FELDMA18"/>
    <x v="1"/>
    <s v="Dena Feldman Fund for Tzedakah"/>
    <n v="19768.310000000001"/>
    <n v="0"/>
    <n v="-2260"/>
    <n v="338.42"/>
    <n v="-184.37"/>
    <n v="0"/>
    <n v="-0.77"/>
    <n v="374.82"/>
    <n v="0.77"/>
    <n v="0"/>
    <n v="18037.18"/>
    <m/>
    <n v="713.24"/>
  </r>
  <r>
    <x v="6"/>
    <s v="47349"/>
    <s v="FRAM1"/>
    <x v="1"/>
    <s v="Harvey &amp; Carine Fram Charitable Gift Fund"/>
    <n v="23177.06"/>
    <n v="0"/>
    <n v="0"/>
    <n v="430.05"/>
    <n v="-230.34"/>
    <n v="0"/>
    <n v="-0.8"/>
    <n v="472.28"/>
    <n v="0.8"/>
    <n v="0"/>
    <n v="23849.05"/>
    <m/>
    <n v="902.32999999999993"/>
  </r>
  <r>
    <x v="6"/>
    <s v="46976"/>
    <s v="DAVIDS12"/>
    <x v="1"/>
    <s v="Davidson Philanthropic Fund"/>
    <n v="21583.56"/>
    <n v="0"/>
    <n v="-300"/>
    <n v="397.18"/>
    <n v="-213.01"/>
    <n v="0"/>
    <n v="-0.83"/>
    <n v="426.25"/>
    <n v="0.83"/>
    <n v="0"/>
    <n v="21893.980000000003"/>
    <m/>
    <n v="823.43000000000006"/>
  </r>
  <r>
    <x v="6"/>
    <s v="46842"/>
    <s v="FELDST4"/>
    <x v="1"/>
    <s v="Lori and Michael Feldstein Fund"/>
    <n v="74028.67"/>
    <n v="328474.13"/>
    <n v="-277712"/>
    <n v="1711.24"/>
    <n v="-993.37000000000012"/>
    <n v="0"/>
    <n v="-3478.57"/>
    <n v="5905.33"/>
    <n v="2.81"/>
    <n v="-3475.76"/>
    <n v="127938.23999999999"/>
    <m/>
    <n v="4140.8099999999995"/>
  </r>
  <r>
    <x v="6"/>
    <s v="46751"/>
    <s v="SHAKUN2"/>
    <x v="2"/>
    <s v="Beth El's Future"/>
    <n v="119635.82"/>
    <n v="0"/>
    <n v="-4751"/>
    <n v="2137.9299999999998"/>
    <n v="-1154.27"/>
    <n v="0"/>
    <n v="-4.43"/>
    <n v="2442.79"/>
    <n v="4.43"/>
    <n v="0"/>
    <n v="118311.26999999999"/>
    <m/>
    <n v="4580.7199999999993"/>
  </r>
  <r>
    <x v="6"/>
    <s v="46630"/>
    <s v="KOHN7"/>
    <x v="0"/>
    <s v="The Richard M. Kohn Endowment Fund"/>
    <n v="1160605.81"/>
    <n v="0"/>
    <n v="-56814"/>
    <n v="20557.57"/>
    <n v="-10840.650000000001"/>
    <n v="0"/>
    <n v="-42.61"/>
    <n v="23717.58"/>
    <n v="42.61"/>
    <n v="0"/>
    <n v="1137226.3100000003"/>
    <m/>
    <n v="44275.15"/>
  </r>
  <r>
    <x v="6"/>
    <s v="45234"/>
    <s v="LEIBOW1"/>
    <x v="1"/>
    <s v="Donald S. Leibowitz and Karen Brodsky Philanthropic Fund"/>
    <n v="105265.31"/>
    <n v="30250"/>
    <n v="-10600"/>
    <n v="2021.84"/>
    <n v="-1133.6399999999999"/>
    <n v="0"/>
    <n v="-3.86"/>
    <n v="2768.75"/>
    <n v="3.86"/>
    <n v="0"/>
    <n v="128572.26"/>
    <m/>
    <n v="4790.59"/>
  </r>
  <r>
    <x v="6"/>
    <s v="44365"/>
    <s v="DIAMON3"/>
    <x v="1"/>
    <s v="Rabbi James S. Diamond Memorial Fund"/>
    <n v="18567.990000000002"/>
    <n v="1500"/>
    <n v="0"/>
    <n v="366.55"/>
    <n v="-194.2"/>
    <n v="0"/>
    <n v="-0.72"/>
    <n v="385.96"/>
    <n v="0.72"/>
    <n v="0"/>
    <n v="20626.3"/>
    <m/>
    <n v="752.51"/>
  </r>
  <r>
    <x v="6"/>
    <s v="43836"/>
    <s v="ZLATIN1"/>
    <x v="1"/>
    <s v="Tikkun Olam Fund"/>
    <n v="1761.31"/>
    <n v="7760.3"/>
    <n v="-4260"/>
    <n v="49.84"/>
    <n v="-150"/>
    <n v="0"/>
    <n v="17.850000000000001"/>
    <n v="309.11"/>
    <n v="0.02"/>
    <n v="17.87"/>
    <n v="5488.4300000000012"/>
    <m/>
    <n v="376.82000000000005"/>
  </r>
  <r>
    <x v="6"/>
    <s v="43834"/>
    <s v="GARBER7"/>
    <x v="1"/>
    <s v="Eileen and Robert Garber Family Fund"/>
    <n v="10809.98"/>
    <n v="0"/>
    <n v="0"/>
    <n v="200.22"/>
    <n v="-150"/>
    <n v="0"/>
    <n v="-0.43"/>
    <n v="218.99"/>
    <n v="0.43"/>
    <n v="0"/>
    <n v="11079.189999999999"/>
    <m/>
    <n v="419.21000000000004"/>
  </r>
  <r>
    <x v="6"/>
    <s v="42917"/>
    <s v="UJFPMB5"/>
    <x v="0"/>
    <s v="UJFPMB Kravitz"/>
    <n v="114390.51"/>
    <n v="0"/>
    <n v="-5678"/>
    <n v="2024.52"/>
    <n v="-1095.3899999999999"/>
    <n v="0"/>
    <n v="-4.22"/>
    <n v="2336.89"/>
    <n v="4.22"/>
    <n v="0"/>
    <n v="111978.53"/>
    <m/>
    <n v="4361.41"/>
  </r>
  <r>
    <x v="6"/>
    <s v="42559"/>
    <s v="PUNIA1"/>
    <x v="3"/>
    <s v="Renee Punia Fund"/>
    <n v="118897.95"/>
    <n v="0"/>
    <n v="-5902"/>
    <n v="2104.36"/>
    <n v="-1138.54"/>
    <n v="0"/>
    <n v="-4.3899999999999997"/>
    <n v="2428.9"/>
    <n v="4.3899999999999997"/>
    <n v="0"/>
    <n v="116390.67"/>
    <m/>
    <n v="4533.26"/>
  </r>
  <r>
    <x v="6"/>
    <s v="42558"/>
    <s v="KEHILL1"/>
    <x v="3"/>
    <s v="The Kehillah Fund"/>
    <n v="102452.58"/>
    <n v="500"/>
    <n v="0"/>
    <n v="1915.21"/>
    <n v="0"/>
    <n v="0"/>
    <n v="-3.8"/>
    <n v="2149.86"/>
    <n v="3.8"/>
    <n v="0"/>
    <n v="107017.65000000001"/>
    <m/>
    <n v="4065.07"/>
  </r>
  <r>
    <x v="6"/>
    <s v="42557"/>
    <s v="FIF1"/>
    <x v="3"/>
    <s v="Foundation Investment Fund"/>
    <n v="112616.9"/>
    <n v="0"/>
    <n v="0"/>
    <n v="2098.7399999999998"/>
    <n v="0"/>
    <n v="0"/>
    <n v="-4.16"/>
    <n v="2331.4699999999998"/>
    <n v="4.16"/>
    <n v="0"/>
    <n v="117047.11"/>
    <m/>
    <n v="4430.2099999999991"/>
  </r>
  <r>
    <x v="6"/>
    <s v="42555"/>
    <s v="UJFPMB4"/>
    <x v="0"/>
    <s v="UJFPMB Julius and Dorothy Koppelman Designated Fund"/>
    <n v="453655.49"/>
    <n v="0"/>
    <n v="-50000"/>
    <n v="8414.56"/>
    <n v="-4508.37"/>
    <n v="0"/>
    <n v="-16.760000000000002"/>
    <n v="8007.06"/>
    <n v="16.760000000000002"/>
    <n v="0"/>
    <n v="415568.74"/>
    <m/>
    <n v="16421.62"/>
  </r>
  <r>
    <x v="6"/>
    <s v="42554"/>
    <s v="UJFPMB3"/>
    <x v="0"/>
    <s v="UJFPMB Shirley Kobak Lion of Judah Endowment Fund"/>
    <n v="94427.22"/>
    <n v="0"/>
    <n v="-4687"/>
    <n v="1671.27"/>
    <n v="-904.21999999999991"/>
    <n v="0"/>
    <n v="-3.48"/>
    <n v="1929.09"/>
    <n v="3.48"/>
    <n v="0"/>
    <n v="92436.36"/>
    <m/>
    <n v="3600.3599999999997"/>
  </r>
  <r>
    <x v="6"/>
    <s v="42553"/>
    <s v="UJFPMB2"/>
    <x v="0"/>
    <s v="UJFPMB Estates Fund"/>
    <n v="57249.34"/>
    <n v="0"/>
    <n v="0"/>
    <n v="1062.32"/>
    <n v="-568.93000000000006"/>
    <n v="0"/>
    <n v="-2.12"/>
    <n v="1166.6400000000001"/>
    <n v="2.12"/>
    <n v="0"/>
    <n v="58909.369999999995"/>
    <m/>
    <n v="2228.96"/>
  </r>
  <r>
    <x v="6"/>
    <s v="42552"/>
    <s v="SRF1"/>
    <x v="0"/>
    <s v="Soviet Resettlement Fund"/>
    <n v="1110.44"/>
    <n v="0"/>
    <n v="0"/>
    <n v="21.18"/>
    <n v="37.5"/>
    <n v="0"/>
    <n v="-0.05"/>
    <n v="25.6"/>
    <n v="0.05"/>
    <n v="0"/>
    <n v="1194.72"/>
    <m/>
    <n v="46.78"/>
  </r>
  <r>
    <x v="6"/>
    <s v="42551"/>
    <s v="PACK1"/>
    <x v="0"/>
    <s v="JFCS Pack Scholarship Fund"/>
    <n v="20139.87"/>
    <n v="0"/>
    <n v="-800"/>
    <n v="359.89"/>
    <n v="-194.29999999999998"/>
    <n v="0"/>
    <n v="-0.79"/>
    <n v="411.23"/>
    <n v="0.79"/>
    <n v="0"/>
    <n v="19916.689999999999"/>
    <m/>
    <n v="771.12"/>
  </r>
  <r>
    <x v="6"/>
    <s v="42550"/>
    <s v="AHALF1"/>
    <x v="0"/>
    <s v="AHA Sandy Light Fund"/>
    <n v="26573.64"/>
    <n v="1216"/>
    <n v="-1012"/>
    <n v="475.61"/>
    <n v="-256.7"/>
    <n v="0"/>
    <n v="-0.97"/>
    <n v="542.54"/>
    <n v="0.97"/>
    <n v="0"/>
    <n v="27539.09"/>
    <m/>
    <n v="1018.15"/>
  </r>
  <r>
    <x v="6"/>
    <s v="42549"/>
    <s v="SILK1"/>
    <x v="1"/>
    <s v="Allen and Judith Silk Philanthropic Fund"/>
    <n v="24220.48"/>
    <n v="0"/>
    <n v="0"/>
    <n v="449.41"/>
    <n v="-240.69"/>
    <n v="0"/>
    <n v="-0.91"/>
    <n v="493.49"/>
    <n v="0.91"/>
    <n v="0"/>
    <n v="24922.690000000002"/>
    <m/>
    <n v="942.90000000000009"/>
  </r>
  <r>
    <x v="6"/>
    <s v="42548"/>
    <s v="ROJER2"/>
    <x v="2"/>
    <s v="Goldie B. Rojer Hunger Relief Fund"/>
    <n v="56979.46"/>
    <n v="0"/>
    <n v="-2262"/>
    <n v="1018.22"/>
    <n v="-549.76"/>
    <n v="0"/>
    <n v="-2.11"/>
    <n v="1163.4000000000001"/>
    <n v="2.11"/>
    <n v="0"/>
    <n v="56349.32"/>
    <m/>
    <n v="2181.62"/>
  </r>
  <r>
    <x v="6"/>
    <s v="42547"/>
    <s v="BERKOW5"/>
    <x v="2"/>
    <s v="Anne and Bernard Berkowitz Legacy Fund"/>
    <n v="12719.85"/>
    <n v="0"/>
    <n v="-632"/>
    <n v="224.9"/>
    <n v="-150"/>
    <n v="0"/>
    <n v="-0.5"/>
    <n v="258.93"/>
    <n v="0.5"/>
    <n v="0"/>
    <n v="12421.68"/>
    <m/>
    <n v="483.83000000000004"/>
  </r>
  <r>
    <x v="6"/>
    <s v="42546"/>
    <s v="YSF1"/>
    <x v="4"/>
    <s v="Youth Scholarship Fund"/>
    <n v="5684.85"/>
    <n v="0"/>
    <n v="-1000"/>
    <n v="88.57"/>
    <n v="0"/>
    <n v="0"/>
    <n v="-0.25"/>
    <n v="108.03"/>
    <n v="0.25"/>
    <n v="0"/>
    <n v="4881.45"/>
    <m/>
    <n v="196.6"/>
  </r>
  <r>
    <x v="6"/>
    <s v="42545"/>
    <s v="WOLLIN1"/>
    <x v="4"/>
    <s v="Wollin Scholarship Fund"/>
    <n v="15920.18"/>
    <n v="0"/>
    <n v="-5000"/>
    <n v="208.56"/>
    <n v="-152.30000000000001"/>
    <n v="0"/>
    <n v="-0.61"/>
    <n v="276.17"/>
    <n v="0.61"/>
    <n v="0"/>
    <n v="11252.61"/>
    <m/>
    <n v="484.73"/>
  </r>
  <r>
    <x v="6"/>
    <s v="42544"/>
    <s v="UJFPMB1"/>
    <x v="4"/>
    <s v="UJFPMB Income Fund"/>
    <n v="11309.67"/>
    <n v="0"/>
    <n v="-449"/>
    <n v="201.78"/>
    <n v="-150"/>
    <n v="0"/>
    <n v="-0.45"/>
    <n v="229.62"/>
    <n v="0.45"/>
    <n v="0"/>
    <n v="11142.070000000002"/>
    <m/>
    <n v="431.4"/>
  </r>
  <r>
    <x v="6"/>
    <s v="42543"/>
    <s v="SIF1"/>
    <x v="4"/>
    <s v="Scholarship Investment Fund"/>
    <n v="29350.68"/>
    <n v="0"/>
    <n v="-980"/>
    <n v="527.61"/>
    <n v="-284.45999999999998"/>
    <n v="0"/>
    <n v="-1.1200000000000001"/>
    <n v="588.83000000000004"/>
    <n v="1.1200000000000001"/>
    <n v="0"/>
    <n v="29202.660000000003"/>
    <m/>
    <n v="1116.44"/>
  </r>
  <r>
    <x v="6"/>
    <s v="42542"/>
    <s v="OFFNER1"/>
    <x v="2"/>
    <s v="Offner JFCS Senior Services Fund"/>
    <n v="17171.060000000001"/>
    <n v="0"/>
    <n v="-682"/>
    <n v="306.83"/>
    <n v="-165.67000000000002"/>
    <n v="0"/>
    <n v="-0.65"/>
    <n v="350.56"/>
    <n v="0.65"/>
    <n v="0"/>
    <n v="16980.780000000006"/>
    <m/>
    <n v="657.39"/>
  </r>
  <r>
    <x v="6"/>
    <s v="42541"/>
    <s v="KLATZK2"/>
    <x v="4"/>
    <s v="Clive B. Klatzkin PACE Designated Fund"/>
    <n v="55226.12"/>
    <n v="0"/>
    <n v="0"/>
    <n v="1024.77"/>
    <n v="-548.83999999999992"/>
    <n v="0"/>
    <n v="-2.0499999999999998"/>
    <n v="1125.31"/>
    <n v="2.0499999999999998"/>
    <n v="0"/>
    <n v="56827.360000000001"/>
    <m/>
    <n v="2150.08"/>
  </r>
  <r>
    <x v="6"/>
    <s v="42540"/>
    <s v="KELSEY2"/>
    <x v="4"/>
    <s v="Harold H. Kelsey Greenwood House Fund"/>
    <n v="93829.64"/>
    <n v="0"/>
    <n v="-8231"/>
    <n v="1598.97"/>
    <n v="-872.44"/>
    <n v="0"/>
    <n v="-3.46"/>
    <n v="1920.6"/>
    <n v="3.46"/>
    <n v="0"/>
    <n v="88245.77"/>
    <m/>
    <n v="3519.5699999999997"/>
  </r>
  <r>
    <x v="6"/>
    <s v="42539"/>
    <s v="KAHN7"/>
    <x v="4"/>
    <s v="Albert B. Kahn Scholarship Fund"/>
    <n v="149578.79"/>
    <n v="0"/>
    <n v="-3290"/>
    <n v="2718.68"/>
    <n v="-1462.3600000000001"/>
    <n v="0"/>
    <n v="-5.53"/>
    <n v="3030.69"/>
    <n v="5.53"/>
    <n v="0"/>
    <n v="150575.80000000002"/>
    <m/>
    <n v="5749.37"/>
  </r>
  <r>
    <x v="6"/>
    <s v="42537"/>
    <s v="GHIF1"/>
    <x v="4"/>
    <s v="Greenwood House Income Fund"/>
    <n v="11904.72"/>
    <n v="0"/>
    <n v="-473"/>
    <n v="212.45"/>
    <n v="-150"/>
    <n v="0"/>
    <n v="-0.48"/>
    <n v="241.9"/>
    <n v="0.48"/>
    <n v="0"/>
    <n v="11736.07"/>
    <m/>
    <n v="454.35"/>
  </r>
  <r>
    <x v="6"/>
    <s v="42536"/>
    <s v="GLAZER2"/>
    <x v="4"/>
    <s v="Henry and Geralyn Glazer Greenwood House Scholarship Fund"/>
    <n v="39217.160000000003"/>
    <n v="0"/>
    <n v="-1500"/>
    <n v="701.81"/>
    <n v="-378.8"/>
    <n v="0"/>
    <n v="-1.46"/>
    <n v="800.72"/>
    <n v="1.46"/>
    <n v="0"/>
    <n v="38840.89"/>
    <m/>
    <n v="1502.53"/>
  </r>
  <r>
    <x v="6"/>
    <s v="42535"/>
    <s v="GARB3"/>
    <x v="4"/>
    <s v="Benjamin Garb Scholarship Fund"/>
    <n v="40446.620000000003"/>
    <n v="0"/>
    <n v="-1380"/>
    <n v="726.6"/>
    <n v="-391.78999999999996"/>
    <n v="0"/>
    <n v="-1.51"/>
    <n v="811.11"/>
    <n v="1.51"/>
    <n v="0"/>
    <n v="40212.54"/>
    <m/>
    <n v="1537.71"/>
  </r>
  <r>
    <x v="6"/>
    <s v="42534"/>
    <s v="EDINIT1"/>
    <x v="4"/>
    <s v="Educational Initiative Fund"/>
    <n v="108852.11"/>
    <n v="0"/>
    <n v="-4324"/>
    <n v="1945.18"/>
    <n v="-1050.22"/>
    <n v="0"/>
    <n v="-4"/>
    <n v="2222.56"/>
    <n v="4"/>
    <n v="0"/>
    <n v="107645.62999999999"/>
    <m/>
    <n v="4167.74"/>
  </r>
  <r>
    <x v="6"/>
    <s v="42533"/>
    <s v="DENBO4"/>
    <x v="4"/>
    <s v="Alexander &amp; Syble G. Denbo Penn State/Dickinson School of Law Fund"/>
    <n v="191335.83"/>
    <n v="0"/>
    <n v="-16871"/>
    <n v="3300.36"/>
    <n v="-1801.71"/>
    <n v="0"/>
    <n v="-7.08"/>
    <n v="3922.21"/>
    <n v="7.08"/>
    <n v="0"/>
    <n v="179885.68999999997"/>
    <m/>
    <n v="7222.57"/>
  </r>
  <r>
    <x v="6"/>
    <s v="42532"/>
    <s v="DENBO3"/>
    <x v="2"/>
    <s v="Alexander &amp; Syble G. Denbo JFCS Fund"/>
    <n v="1494876.62"/>
    <n v="0"/>
    <n v="-115892"/>
    <n v="26203.39"/>
    <n v="-13163.96"/>
    <n v="0"/>
    <n v="-55.21"/>
    <n v="30569.1"/>
    <n v="55.21"/>
    <n v="0"/>
    <n v="1422593.1500000001"/>
    <m/>
    <n v="56772.49"/>
  </r>
  <r>
    <x v="6"/>
    <s v="42531"/>
    <s v="DENBO2"/>
    <x v="2"/>
    <s v="Alexander &amp; Syble G. Denbo Greenwood House Fund"/>
    <n v="1142609.8400000001"/>
    <n v="0"/>
    <n v="-122042.95"/>
    <n v="19492.88"/>
    <n v="-10452.33"/>
    <n v="0"/>
    <n v="-42.2"/>
    <n v="23509.21"/>
    <n v="42.2"/>
    <n v="0"/>
    <n v="1053116.6500000001"/>
    <m/>
    <n v="43002.09"/>
  </r>
  <r>
    <x v="6"/>
    <s v="42530"/>
    <s v="DENBO1"/>
    <x v="4"/>
    <s v="Alexander Denbo School Fund"/>
    <n v="23763.87"/>
    <n v="0"/>
    <n v="-944"/>
    <n v="424.67"/>
    <n v="-229.28"/>
    <n v="0"/>
    <n v="-0.92"/>
    <n v="485.16"/>
    <n v="0.92"/>
    <n v="0"/>
    <n v="23500.42"/>
    <m/>
    <n v="909.83"/>
  </r>
  <r>
    <x v="6"/>
    <s v="42529"/>
    <s v="AHAPIF1"/>
    <x v="4"/>
    <s v="AHA Pooled Special Funds"/>
    <n v="3099.13"/>
    <n v="0"/>
    <n v="0"/>
    <n v="57.77"/>
    <n v="0"/>
    <n v="0"/>
    <n v="-0.13"/>
    <n v="64.209999999999994"/>
    <n v="0.13"/>
    <n v="0"/>
    <n v="3221.11"/>
    <m/>
    <n v="121.97999999999999"/>
  </r>
  <r>
    <x v="6"/>
    <s v="42528"/>
    <s v="ZELTT1"/>
    <x v="1"/>
    <s v="Harold &amp; Marilyn Zeltt Charitable Fund"/>
    <n v="947.07"/>
    <n v="0"/>
    <n v="-500"/>
    <n v="7.74"/>
    <n v="-150"/>
    <n v="0"/>
    <n v="-0.04"/>
    <n v="9.85"/>
    <n v="0.04"/>
    <n v="0"/>
    <n v="314.66000000000008"/>
    <m/>
    <n v="17.59"/>
  </r>
  <r>
    <x v="6"/>
    <s v="42527"/>
    <s v="WISOTS1"/>
    <x v="1"/>
    <s v="Wisotsky Family Philanthropic Fund"/>
    <n v="1469.71"/>
    <n v="4764.1499999999996"/>
    <n v="0"/>
    <n v="28.02"/>
    <n v="-150"/>
    <n v="0"/>
    <n v="-38.549999999999997"/>
    <n v="166.43"/>
    <n v="0.01"/>
    <n v="-38.54"/>
    <n v="6239.77"/>
    <m/>
    <n v="155.91000000000003"/>
  </r>
  <r>
    <x v="6"/>
    <s v="42525"/>
    <s v="URKEN1"/>
    <x v="1"/>
    <s v="Ernestine and Karl Urken Philanthropic Fund"/>
    <n v="17596.12"/>
    <n v="0"/>
    <n v="-100"/>
    <n v="324.76"/>
    <n v="-174.13"/>
    <n v="0"/>
    <n v="-0.68"/>
    <n v="357.63"/>
    <n v="0.68"/>
    <n v="0"/>
    <n v="18004.379999999997"/>
    <m/>
    <n v="682.39"/>
  </r>
  <r>
    <x v="6"/>
    <s v="42524"/>
    <s v="SUCHAR1"/>
    <x v="1"/>
    <s v="Sucharow Family Charitable Fund"/>
    <n v="357811.37"/>
    <n v="95859.6"/>
    <n v="-237000"/>
    <n v="4276.78"/>
    <n v="-2743.61"/>
    <n v="0"/>
    <n v="895.4"/>
    <n v="5652.25"/>
    <n v="13.18"/>
    <n v="908.57999999999993"/>
    <n v="224764.96999999997"/>
    <m/>
    <n v="10837.609999999999"/>
  </r>
  <r>
    <x v="6"/>
    <s v="42523"/>
    <s v="STIX1"/>
    <x v="1"/>
    <s v="Stix Charitable Fund"/>
    <n v="208997.02"/>
    <n v="0"/>
    <n v="0"/>
    <n v="3878.02"/>
    <n v="-2076.98"/>
    <n v="0"/>
    <n v="-7.71"/>
    <n v="4258.7"/>
    <n v="7.71"/>
    <n v="0"/>
    <n v="215056.75999999998"/>
    <m/>
    <n v="8136.7199999999993"/>
  </r>
  <r>
    <x v="6"/>
    <s v="42522"/>
    <s v="SMUKLE3"/>
    <x v="1"/>
    <s v="Smukler Fund"/>
    <n v="809072.67"/>
    <n v="0"/>
    <n v="-31400"/>
    <n v="14752.33"/>
    <n v="-7913.21"/>
    <n v="0"/>
    <n v="-29.89"/>
    <n v="15221.87"/>
    <n v="29.89"/>
    <n v="0"/>
    <n v="799733.66"/>
    <m/>
    <n v="29974.2"/>
  </r>
  <r>
    <x v="6"/>
    <s v="42520"/>
    <s v="SHECHT5"/>
    <x v="1"/>
    <s v="Shechtel Children's Fund"/>
    <n v="5212.9799999999996"/>
    <n v="0"/>
    <n v="-5089.3999999999996"/>
    <n v="69.39"/>
    <n v="-112.5"/>
    <n v="0"/>
    <n v="-0.04"/>
    <n v="-80.47"/>
    <n v="0.04"/>
    <n v="0"/>
    <n v="0"/>
    <m/>
    <n v="-11.079999999999998"/>
  </r>
  <r>
    <x v="6"/>
    <s v="42519"/>
    <s v="SCHWAR33"/>
    <x v="1"/>
    <s v="Judith &amp; Martin Schwartz Family Charitable Trust"/>
    <n v="120152"/>
    <n v="21209.75"/>
    <n v="-18650"/>
    <n v="2195.13"/>
    <n v="-1194.4099999999999"/>
    <n v="0"/>
    <n v="353.35"/>
    <n v="1802.2"/>
    <n v="4.45"/>
    <n v="357.8"/>
    <n v="125872.47"/>
    <m/>
    <n v="4355.13"/>
  </r>
  <r>
    <x v="6"/>
    <s v="42518"/>
    <s v="SCHNUR3"/>
    <x v="1"/>
    <s v="Schnur Family Philanthropic Fund"/>
    <n v="105160.83"/>
    <n v="0"/>
    <n v="-31000"/>
    <n v="1768.71"/>
    <n v="-963.48"/>
    <n v="0"/>
    <n v="-3.89"/>
    <n v="170.69"/>
    <n v="3.89"/>
    <n v="0"/>
    <n v="75136.750000000015"/>
    <m/>
    <n v="1939.4"/>
  </r>
  <r>
    <x v="6"/>
    <s v="42516"/>
    <s v="SHAKUN1"/>
    <x v="1"/>
    <s v="Shakun &amp; Devery Family Fund"/>
    <n v="48774.77"/>
    <n v="0"/>
    <n v="-16600"/>
    <n v="752.59"/>
    <n v="-423.4"/>
    <n v="0"/>
    <n v="-1.83"/>
    <n v="186.07"/>
    <n v="1.83"/>
    <n v="0"/>
    <n v="32690.029999999992"/>
    <m/>
    <n v="938.66000000000008"/>
  </r>
  <r>
    <x v="6"/>
    <s v="42515"/>
    <s v="SCHAEF7"/>
    <x v="1"/>
    <s v="Schaefer Family Philanthropic Fund"/>
    <n v="96623.39"/>
    <n v="80249.64"/>
    <n v="-36250"/>
    <n v="2623.19"/>
    <n v="-1292.8599999999999"/>
    <n v="0"/>
    <n v="17.940000000000001"/>
    <n v="5252.85"/>
    <n v="3.43"/>
    <n v="21.37"/>
    <n v="147227.58000000002"/>
    <m/>
    <n v="7897.4100000000008"/>
  </r>
  <r>
    <x v="6"/>
    <s v="42514"/>
    <s v="KOHN6"/>
    <x v="2"/>
    <s v="RMK PACE Fund"/>
    <n v="102057.83"/>
    <n v="0"/>
    <n v="-5066"/>
    <n v="1806.27"/>
    <n v="-977.29000000000008"/>
    <n v="0"/>
    <n v="-3.77"/>
    <n v="2084.91"/>
    <n v="3.77"/>
    <n v="0"/>
    <n v="99905.720000000016"/>
    <m/>
    <n v="3891.18"/>
  </r>
  <r>
    <x v="6"/>
    <s v="42513"/>
    <s v="PIMLEY1"/>
    <x v="1"/>
    <s v="Oliver Jenson Pimley Tzedakah Fund"/>
    <n v="9688.3700000000008"/>
    <n v="0"/>
    <n v="0"/>
    <n v="179.35"/>
    <n v="-150"/>
    <n v="0"/>
    <n v="-0.39"/>
    <n v="195.64"/>
    <n v="0.39"/>
    <n v="0"/>
    <n v="9913.36"/>
    <m/>
    <n v="374.99"/>
  </r>
  <r>
    <x v="6"/>
    <s v="42512"/>
    <s v="PERLMA8"/>
    <x v="1"/>
    <s v="Bonnie and Richard Perlman Philanthropic Fund"/>
    <n v="38004.26"/>
    <n v="0"/>
    <n v="-16950"/>
    <n v="559.66999999999996"/>
    <n v="-316.3"/>
    <n v="0"/>
    <n v="-1.44"/>
    <n v="729.16"/>
    <n v="1.44"/>
    <n v="0"/>
    <n v="22026.79"/>
    <m/>
    <n v="1288.83"/>
  </r>
  <r>
    <x v="6"/>
    <s v="42511"/>
    <s v="PERLMA7"/>
    <x v="1"/>
    <s v="B. Perlman Family Charitable Fund"/>
    <n v="1217.3399999999999"/>
    <n v="0"/>
    <n v="-600"/>
    <n v="11.52"/>
    <n v="-150"/>
    <n v="0"/>
    <n v="-0.06"/>
    <n v="22.18"/>
    <n v="0.06"/>
    <n v="0"/>
    <n v="501.03999999999991"/>
    <m/>
    <n v="33.700000000000003"/>
  </r>
  <r>
    <x v="6"/>
    <s v="42510"/>
    <s v="NEUMAN3"/>
    <x v="1"/>
    <s v="Jerry Neumann &amp; Naomi Richman Philanthropic Fund"/>
    <n v="134816.16"/>
    <n v="0"/>
    <n v="-6018"/>
    <n v="2413.0100000000002"/>
    <n v="-1303.71"/>
    <n v="0"/>
    <n v="-5"/>
    <n v="2700.96"/>
    <n v="5"/>
    <n v="0"/>
    <n v="132608.42000000001"/>
    <m/>
    <n v="5113.97"/>
  </r>
  <r>
    <x v="6"/>
    <s v="42509"/>
    <s v="MILLER147"/>
    <x v="1"/>
    <s v="Sue Ellen and David H. Miller Family Charitable Fund"/>
    <n v="17235.45"/>
    <n v="0"/>
    <n v="-500"/>
    <n v="316.7"/>
    <n v="-169.92000000000002"/>
    <n v="0"/>
    <n v="-0.67"/>
    <n v="298.82"/>
    <n v="0.67"/>
    <n v="0"/>
    <n v="17181.050000000003"/>
    <m/>
    <n v="615.52"/>
  </r>
  <r>
    <x v="6"/>
    <s v="42508"/>
    <s v="KLATZK1"/>
    <x v="1"/>
    <s v="Clive and Audrey Klatzkin Family Philanthropic Fund"/>
    <n v="62276.25"/>
    <n v="0"/>
    <n v="0"/>
    <n v="1155.55"/>
    <n v="-618.89"/>
    <n v="0"/>
    <n v="-2.33"/>
    <n v="1268.97"/>
    <n v="2.33"/>
    <n v="0"/>
    <n v="64081.880000000005"/>
    <m/>
    <n v="2424.52"/>
  </r>
  <r>
    <x v="6"/>
    <s v="42507"/>
    <s v="KALISH2"/>
    <x v="1"/>
    <s v="Peggy and Errol Kalish Philanthropic Fund"/>
    <n v="35833.31"/>
    <n v="0"/>
    <n v="-3750"/>
    <n v="618.46"/>
    <n v="-338.68"/>
    <n v="0"/>
    <n v="-1.34"/>
    <n v="574.20000000000005"/>
    <n v="1.34"/>
    <n v="0"/>
    <n v="32937.289999999994"/>
    <m/>
    <n v="1192.6600000000001"/>
  </r>
  <r>
    <x v="6"/>
    <s v="42506"/>
    <s v="KAHN6"/>
    <x v="1"/>
    <s v="Kahn Family Philanthropic Fund"/>
    <n v="15046.9"/>
    <n v="11927.7"/>
    <n v="-9200"/>
    <n v="317.7"/>
    <n v="-168.49"/>
    <n v="0"/>
    <n v="86.77"/>
    <n v="455.62"/>
    <n v="0.56999999999999995"/>
    <n v="87.339999999999989"/>
    <n v="18466.769999999997"/>
    <m/>
    <n v="860.66"/>
  </r>
  <r>
    <x v="6"/>
    <s v="42505"/>
    <s v="HARRIS51"/>
    <x v="1"/>
    <s v="Sara Jane and Morris Harris Philanthropic Fund"/>
    <n v="109214.39999999999"/>
    <n v="0"/>
    <n v="0"/>
    <n v="2026.51"/>
    <n v="-1085.3600000000001"/>
    <n v="0"/>
    <n v="-4.01"/>
    <n v="2225.44"/>
    <n v="4.01"/>
    <n v="0"/>
    <n v="112380.98999999999"/>
    <m/>
    <n v="4251.95"/>
  </r>
  <r>
    <x v="6"/>
    <s v="42504"/>
    <s v="GOODMA11"/>
    <x v="1"/>
    <s v="Goodman Family Philanthropic Fund"/>
    <n v="40358.42"/>
    <n v="0"/>
    <n v="0"/>
    <n v="748.86"/>
    <n v="-401.08"/>
    <n v="0"/>
    <n v="-1.51"/>
    <n v="822.37"/>
    <n v="1.51"/>
    <n v="0"/>
    <n v="41528.57"/>
    <m/>
    <n v="1571.23"/>
  </r>
  <r>
    <x v="6"/>
    <s v="42503"/>
    <s v="GOLDMA21"/>
    <x v="1"/>
    <s v="Debby and Peter Goldman Fund"/>
    <n v="203791.33"/>
    <n v="0"/>
    <n v="0"/>
    <n v="3781.42"/>
    <n v="-2025.2600000000002"/>
    <n v="0"/>
    <n v="-7.5"/>
    <n v="4152.63"/>
    <n v="7.5"/>
    <n v="0"/>
    <n v="209700.12"/>
    <m/>
    <n v="7934.05"/>
  </r>
  <r>
    <x v="6"/>
    <s v="42502"/>
    <s v="GLAZER1"/>
    <x v="1"/>
    <s v="Richard M. Glazer Philanthropic Fund"/>
    <n v="23643.73"/>
    <n v="0"/>
    <n v="-1250"/>
    <n v="422.49"/>
    <n v="-228.86"/>
    <n v="0"/>
    <n v="-0.91"/>
    <n v="447.51"/>
    <n v="0.91"/>
    <n v="0"/>
    <n v="23034.87"/>
    <m/>
    <n v="870"/>
  </r>
  <r>
    <x v="6"/>
    <s v="42499"/>
    <s v="FELDMA13"/>
    <x v="1"/>
    <s v="Talia Feldman Fund for Tzedakah"/>
    <n v="12520.21"/>
    <n v="0"/>
    <n v="-1650"/>
    <n v="215.76"/>
    <n v="-150"/>
    <n v="0"/>
    <n v="-0.49"/>
    <n v="221.76"/>
    <n v="0.49"/>
    <n v="0"/>
    <n v="11157.73"/>
    <m/>
    <n v="437.52"/>
  </r>
  <r>
    <x v="6"/>
    <s v="42498"/>
    <s v="FANNIN3"/>
    <x v="1"/>
    <s v="Lillian and Arthur Fanning Memorial Fund"/>
    <n v="45455.39"/>
    <n v="0"/>
    <n v="-7500"/>
    <n v="798.24"/>
    <n v="-431.91999999999996"/>
    <n v="0"/>
    <n v="-1.72"/>
    <n v="420.25"/>
    <n v="1.72"/>
    <n v="0"/>
    <n v="38741.96"/>
    <m/>
    <n v="1218.49"/>
  </r>
  <r>
    <x v="6"/>
    <s v="42497"/>
    <s v="FAMILA1"/>
    <x v="1"/>
    <s v="Rosalind &quot;Mimi&quot; and Aaron &quot;Poppy&quot; Familant Fund"/>
    <n v="19012.47"/>
    <n v="0"/>
    <n v="-2000"/>
    <n v="318.85000000000002"/>
    <n v="-174.51"/>
    <n v="0"/>
    <n v="-0.74"/>
    <n v="410.73"/>
    <n v="0.74"/>
    <n v="0"/>
    <n v="17567.54"/>
    <m/>
    <n v="729.58"/>
  </r>
  <r>
    <x v="6"/>
    <s v="42496"/>
    <s v="ENTIN1"/>
    <x v="1"/>
    <s v="Sadie and Leon Entin Memorial Fund"/>
    <n v="9717.26"/>
    <n v="0"/>
    <n v="-1100"/>
    <n v="163.65"/>
    <n v="-150"/>
    <n v="0"/>
    <n v="-0.4"/>
    <n v="158.88999999999999"/>
    <n v="0.4"/>
    <n v="0"/>
    <n v="8789.7999999999993"/>
    <m/>
    <n v="322.53999999999996"/>
  </r>
  <r>
    <x v="6"/>
    <s v="42495"/>
    <s v="EGGER2"/>
    <x v="1"/>
    <s v="Audrey and David Egger Charitable Fund"/>
    <n v="50795.59"/>
    <n v="44248"/>
    <n v="-18250"/>
    <n v="791.74"/>
    <n v="-438.65000000000003"/>
    <n v="0"/>
    <n v="36.53"/>
    <n v="762.2"/>
    <n v="1.55"/>
    <n v="38.08"/>
    <n v="77946.960000000006"/>
    <m/>
    <n v="1592.02"/>
  </r>
  <r>
    <x v="6"/>
    <s v="42494"/>
    <s v="COHEN57"/>
    <x v="1"/>
    <s v="Janet and Howard Cohen Philanthropic Fund"/>
    <n v="49240.79"/>
    <n v="7000"/>
    <n v="-1878"/>
    <n v="937.02"/>
    <n v="-517.29999999999995"/>
    <n v="0"/>
    <n v="-1.82"/>
    <n v="1715.76"/>
    <n v="1.82"/>
    <n v="0"/>
    <n v="56498.27"/>
    <m/>
    <n v="2652.7799999999997"/>
  </r>
  <r>
    <x v="6"/>
    <s v="42493"/>
    <s v="BURNS15"/>
    <x v="1"/>
    <s v="Joseph Burns Fund"/>
    <n v="20475.05"/>
    <n v="2000"/>
    <n v="0"/>
    <n v="392.41"/>
    <n v="-213.93"/>
    <n v="0"/>
    <n v="-0.77"/>
    <n v="626.49"/>
    <n v="0.77"/>
    <n v="0"/>
    <n v="23280.02"/>
    <m/>
    <n v="1018.9000000000001"/>
  </r>
  <r>
    <x v="6"/>
    <s v="42492"/>
    <s v="BERMAN14"/>
    <x v="1"/>
    <s v="Ronald and Marie Berman Philanthropic Fund"/>
    <n v="18820.84"/>
    <n v="0"/>
    <n v="-5220"/>
    <n v="286.85000000000002"/>
    <n v="-170.47"/>
    <n v="0"/>
    <n v="-0.73"/>
    <n v="0.46"/>
    <n v="0.73"/>
    <n v="0"/>
    <n v="13717.68"/>
    <m/>
    <n v="287.31"/>
  </r>
  <r>
    <x v="6"/>
    <s v="42491"/>
    <s v="BERGER10"/>
    <x v="1"/>
    <s v="Samuel S. and Regina Berger Charitable Fund"/>
    <n v="11294.66"/>
    <n v="0"/>
    <n v="0"/>
    <n v="209.29"/>
    <n v="-150"/>
    <n v="0"/>
    <n v="-0.45"/>
    <n v="229.03"/>
    <n v="0.45"/>
    <n v="0"/>
    <n v="11582.980000000001"/>
    <m/>
    <n v="438.32"/>
  </r>
  <r>
    <x v="6"/>
    <s v="42490"/>
    <s v="AXELRO4"/>
    <x v="1"/>
    <s v="Axelrod Family Fund"/>
    <n v="62539.62"/>
    <n v="0"/>
    <n v="-4600"/>
    <n v="1144"/>
    <n v="-616.53"/>
    <n v="0"/>
    <n v="-2.33"/>
    <n v="1227.56"/>
    <n v="2.33"/>
    <n v="0"/>
    <n v="59694.65"/>
    <m/>
    <n v="2371.56"/>
  </r>
  <r>
    <x v="6"/>
    <s v="42489"/>
    <s v="APPLES1"/>
    <x v="1"/>
    <s v="Louis Applestein Memorial Fund"/>
    <n v="29808.55"/>
    <n v="0"/>
    <n v="0"/>
    <n v="553.13"/>
    <n v="-296.24"/>
    <n v="0"/>
    <n v="-1.1399999999999999"/>
    <n v="607.39"/>
    <n v="1.1399999999999999"/>
    <n v="0"/>
    <n v="30672.829999999998"/>
    <m/>
    <n v="1160.52"/>
  </r>
  <r>
    <x v="6"/>
    <s v="42488"/>
    <s v="ANSHEN1"/>
    <x v="1"/>
    <s v="Rose Perlman Anshen and Harold Anshen Memorial Fund"/>
    <n v="28155.93"/>
    <n v="0"/>
    <n v="-750"/>
    <n v="519.33000000000004"/>
    <n v="-278.54999999999995"/>
    <n v="0"/>
    <n v="-1.07"/>
    <n v="556.79999999999995"/>
    <n v="1.07"/>
    <n v="0"/>
    <n v="28203.510000000002"/>
    <m/>
    <n v="1076.1300000000001"/>
  </r>
  <r>
    <x v="6"/>
    <s v="141710"/>
    <s v="MALBER1"/>
    <x v="1"/>
    <s v="Ariel Eden Malberg Memorial Fund"/>
    <n v="0"/>
    <n v="115400"/>
    <n v="0"/>
    <n v="1561.05"/>
    <n v="-588.36"/>
    <n v="0"/>
    <n v="0"/>
    <n v="8064.58"/>
    <n v="0"/>
    <n v="0"/>
    <n v="124437.27"/>
    <m/>
    <n v="9625.629999999999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4F0AF2-67C0-49B8-9E8E-37C785639B1F}" name="PivotTable1" cacheId="15" dataOnRows="1" applyNumberFormats="0" applyBorderFormats="0" applyFontFormats="0" applyPatternFormats="0" applyAlignmentFormats="0" applyWidthHeightFormats="1" dataCaption="Values" updatedVersion="6" minRefreshableVersion="3" itemPrintTitles="1" createdVersion="6" indent="0" compact="0" compactData="0">
  <location ref="B45:J52" firstHeaderRow="1" firstDataRow="2" firstDataCol="1" rowPageCount="1" colPageCount="1"/>
  <pivotFields count="18">
    <pivotField axis="axisCol" compact="0" outline="0" subtotalTop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ubtotalTop="0" showAll="0" defaultSubtotal="0"/>
    <pivotField compact="0" outline="0" subtotalTop="0" showAll="0" defaultSubtotal="0"/>
    <pivotField axis="axisPage" compact="0" outline="0" subtotalTop="0" multipleItemSelectionAllowed="1" showAll="0" defaultSubtotal="0">
      <items count="5">
        <item x="0"/>
        <item x="1"/>
        <item x="2"/>
        <item x="4"/>
        <item h="1" x="3"/>
      </items>
    </pivotField>
    <pivotField compact="0" outline="0" subtotalTop="0" showAll="0" defaultSubtotal="0"/>
    <pivotField dataField="1" compact="0" numFmtId="43" outline="0" subtotalTop="0" showAll="0" defaultSubtotal="0"/>
    <pivotField dataField="1" compact="0" numFmtId="43" outline="0" subtotalTop="0" showAll="0" defaultSubtotal="0"/>
    <pivotField dataField="1" compact="0" numFmtId="43" outline="0" subtotalTop="0" showAll="0" defaultSubtotal="0"/>
    <pivotField compact="0" numFmtId="43" outline="0" subtotalTop="0" showAll="0" defaultSubtotal="0"/>
    <pivotField dataField="1"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dataField="1" compact="0" numFmtId="43" outline="0" subtotalTop="0" showAll="0" defaultSubtotal="0"/>
    <pivotField compact="0" outline="0" subtotalTop="0" showAll="0" defaultSubtotal="0"/>
    <pivotField dataField="1" compact="0" numFmtId="43" outline="0" subtotalTop="0" showAll="0" defaultSubtotal="0"/>
  </pivotFields>
  <rowFields count="1">
    <field x="-2"/>
  </rowFields>
  <rowItems count="6">
    <i>
      <x/>
    </i>
    <i i="1">
      <x v="1"/>
    </i>
    <i i="2">
      <x v="2"/>
    </i>
    <i i="3">
      <x v="3"/>
    </i>
    <i i="4">
      <x v="4"/>
    </i>
    <i i="5">
      <x v="5"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3" hier="-1"/>
  </pageFields>
  <dataFields count="6">
    <dataField name="Sum of Beginning Balance" fld="5" baseField="0" baseItem="0"/>
    <dataField name="Sum of Receipts" fld="6" baseField="0" baseItem="0"/>
    <dataField name="Sum of Disbursements" fld="7" baseField="0" baseItem="0"/>
    <dataField name="Sum of Income, Gains &amp; Losses" fld="17" baseField="0" baseItem="0"/>
    <dataField name="Sum of Fees" fld="9" baseField="0" baseItem="0"/>
    <dataField name="Sum of Ending Balance" fld="15" baseField="0" baseItem="0"/>
  </dataFields>
  <formats count="12">
    <format dxfId="11">
      <pivotArea type="all" dataOnly="0" outline="0" fieldPosition="0"/>
    </format>
    <format dxfId="10">
      <pivotArea type="origin" dataOnly="0" labelOnly="1" outline="0" fieldPosition="0"/>
    </format>
    <format dxfId="9">
      <pivotArea field="0" type="button" dataOnly="0" labelOnly="1" outline="0" axis="axisCol" fieldPosition="0"/>
    </format>
    <format dxfId="8">
      <pivotArea type="topRight" dataOnly="0" labelOnly="1" outline="0" fieldPosition="0"/>
    </format>
    <format dxfId="7">
      <pivotArea field="-2" type="button" dataOnly="0" labelOnly="1" outline="0" axis="axisRow" fieldPosition="0"/>
    </format>
    <format dxfId="6">
      <pivotArea dataOnly="0" labelOnly="1" outline="0" fieldPosition="0">
        <references count="1">
          <reference field="0" count="0"/>
        </references>
      </pivotArea>
    </format>
    <format dxfId="5">
      <pivotArea dataOnly="0" labelOnly="1" grandCol="1" outline="0" fieldPosition="0"/>
    </format>
    <format dxfId="4">
      <pivotArea outline="0" collapsedLevelsAreSubtotals="1" fieldPosition="0"/>
    </format>
    <format dxfId="3">
      <pivotArea outline="0" collapsedLevelsAreSubtotals="1" fieldPosition="0"/>
    </format>
    <format dxfId="2">
      <pivotArea outline="0" collapsedLevelsAreSubtotals="1" fieldPosition="0"/>
    </format>
    <format dxfId="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0">
      <pivotArea outline="0" fieldPosition="0">
        <references count="1">
          <reference field="0" count="1" selected="0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173F3-CABE-4EAF-85DB-70C843C20F68}">
  <dimension ref="A1:Y55"/>
  <sheetViews>
    <sheetView topLeftCell="B7" zoomScale="120" zoomScaleNormal="120" workbookViewId="0">
      <pane xSplit="3" ySplit="2" topLeftCell="L9" activePane="bottomRight" state="frozen"/>
      <selection activeCell="B7" sqref="B7"/>
      <selection pane="topRight" activeCell="E7" sqref="E7"/>
      <selection pane="bottomLeft" activeCell="B9" sqref="B9"/>
      <selection pane="bottomRight" activeCell="B21" sqref="B21"/>
    </sheetView>
  </sheetViews>
  <sheetFormatPr defaultColWidth="9.140625" defaultRowHeight="15" x14ac:dyDescent="0.25"/>
  <cols>
    <col min="1" max="1" width="3.5703125" style="22" hidden="1" customWidth="1"/>
    <col min="2" max="2" width="25.7109375" style="22" customWidth="1"/>
    <col min="3" max="3" width="14.85546875" style="22" customWidth="1"/>
    <col min="4" max="4" width="19.42578125" style="22" customWidth="1"/>
    <col min="5" max="5" width="12.5703125" style="22" customWidth="1"/>
    <col min="6" max="6" width="11.28515625" style="22" customWidth="1"/>
    <col min="7" max="7" width="13.28515625" style="22" customWidth="1"/>
    <col min="8" max="8" width="12" style="22" customWidth="1"/>
    <col min="9" max="9" width="10.5703125" style="22" bestFit="1" customWidth="1"/>
    <col min="10" max="10" width="13.85546875" style="22" customWidth="1"/>
    <col min="11" max="15" width="11.28515625" style="22" customWidth="1"/>
    <col min="16" max="16" width="10.42578125" style="22" customWidth="1"/>
    <col min="17" max="17" width="1.28515625" style="22" customWidth="1"/>
    <col min="18" max="18" width="1.42578125" style="22" customWidth="1"/>
    <col min="19" max="23" width="15.7109375" style="22" customWidth="1"/>
    <col min="24" max="24" width="21.7109375" style="22" bestFit="1" customWidth="1"/>
    <col min="25" max="25" width="19.42578125" style="22" bestFit="1" customWidth="1"/>
    <col min="26" max="16384" width="9.140625" style="22"/>
  </cols>
  <sheetData>
    <row r="1" spans="1:25" s="37" customFormat="1" ht="26.25" customHeight="1" x14ac:dyDescent="0.2">
      <c r="A1" s="263" t="s">
        <v>135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</row>
    <row r="2" spans="1:25" s="37" customFormat="1" ht="26.25" customHeight="1" x14ac:dyDescent="0.2">
      <c r="A2" s="263" t="s">
        <v>136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</row>
    <row r="3" spans="1:25" s="37" customFormat="1" ht="26.25" x14ac:dyDescent="0.4">
      <c r="A3" s="264" t="s">
        <v>151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</row>
    <row r="4" spans="1:25" s="37" customFormat="1" ht="26.25" x14ac:dyDescent="0.4">
      <c r="A4" s="264" t="s">
        <v>152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</row>
    <row r="5" spans="1:25" s="37" customFormat="1" ht="26.25" x14ac:dyDescent="0.2">
      <c r="A5" s="265" t="s">
        <v>137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</row>
    <row r="6" spans="1:25" s="37" customFormat="1" ht="27.75" customHeight="1" x14ac:dyDescent="0.3">
      <c r="A6" s="38"/>
      <c r="B6" s="38"/>
      <c r="C6" s="38"/>
      <c r="D6" s="38"/>
      <c r="E6" s="38"/>
      <c r="F6" s="38"/>
      <c r="G6" s="38"/>
      <c r="H6" s="38"/>
      <c r="I6" s="38"/>
      <c r="J6" s="22"/>
      <c r="K6" s="22"/>
      <c r="L6" s="22"/>
      <c r="M6" s="22"/>
      <c r="N6" s="22"/>
      <c r="O6" s="22"/>
      <c r="P6" s="22"/>
    </row>
    <row r="7" spans="1:25" s="37" customFormat="1" x14ac:dyDescent="0.25">
      <c r="A7" s="22"/>
      <c r="B7" s="22"/>
      <c r="C7" s="22"/>
      <c r="D7" s="22"/>
      <c r="H7" s="39"/>
      <c r="I7" s="22"/>
      <c r="J7" s="22"/>
      <c r="K7" s="22"/>
      <c r="L7" s="22"/>
      <c r="M7" s="22"/>
      <c r="N7" s="22"/>
      <c r="O7" s="22"/>
      <c r="P7" s="22"/>
    </row>
    <row r="8" spans="1:25" s="37" customFormat="1" ht="45" customHeight="1" x14ac:dyDescent="0.25">
      <c r="A8" s="22"/>
      <c r="B8" s="22"/>
      <c r="C8" s="22"/>
      <c r="D8" s="22"/>
      <c r="E8" s="40" t="s">
        <v>153</v>
      </c>
      <c r="F8" s="40" t="s">
        <v>154</v>
      </c>
      <c r="G8" s="40" t="s">
        <v>155</v>
      </c>
      <c r="H8" s="40" t="s">
        <v>156</v>
      </c>
      <c r="I8" s="40" t="s">
        <v>157</v>
      </c>
      <c r="J8" s="40" t="s">
        <v>158</v>
      </c>
      <c r="K8" s="40" t="s">
        <v>159</v>
      </c>
      <c r="L8" s="40" t="s">
        <v>160</v>
      </c>
      <c r="M8" s="40" t="s">
        <v>161</v>
      </c>
      <c r="N8" s="40" t="s">
        <v>184</v>
      </c>
      <c r="O8" s="40" t="s">
        <v>205</v>
      </c>
      <c r="P8" s="41" t="s">
        <v>206</v>
      </c>
      <c r="Q8" s="42"/>
    </row>
    <row r="9" spans="1:25" s="37" customFormat="1" ht="23.25" x14ac:dyDescent="0.35">
      <c r="A9" s="22"/>
      <c r="B9" s="43" t="s">
        <v>162</v>
      </c>
      <c r="C9" s="22"/>
      <c r="D9" s="22"/>
      <c r="E9" s="44"/>
      <c r="F9" s="44"/>
      <c r="G9" s="44"/>
      <c r="H9" s="44"/>
      <c r="I9" s="44"/>
      <c r="J9" s="44"/>
      <c r="K9" s="44"/>
      <c r="L9" s="44"/>
      <c r="M9" s="22"/>
      <c r="N9" s="22"/>
      <c r="O9" s="22"/>
      <c r="P9" s="45"/>
      <c r="Q9" s="46"/>
    </row>
    <row r="10" spans="1:25" s="37" customFormat="1" x14ac:dyDescent="0.25">
      <c r="A10" s="22"/>
      <c r="B10" s="22"/>
      <c r="C10" s="22"/>
      <c r="D10" s="22"/>
      <c r="E10" s="47"/>
      <c r="F10" s="44"/>
      <c r="G10" s="44"/>
      <c r="H10" s="44"/>
      <c r="I10" s="44"/>
      <c r="J10" s="44"/>
      <c r="K10" s="44"/>
      <c r="L10" s="44"/>
      <c r="M10" s="48"/>
      <c r="N10" s="48"/>
      <c r="O10" s="48"/>
      <c r="P10" s="49"/>
      <c r="Q10" s="46"/>
    </row>
    <row r="11" spans="1:25" s="37" customFormat="1" ht="18" customHeight="1" x14ac:dyDescent="0.3">
      <c r="B11" s="50" t="s">
        <v>163</v>
      </c>
      <c r="D11" s="51"/>
      <c r="E11" s="52">
        <f>+C47/10^6</f>
        <v>6.7799264599999995</v>
      </c>
      <c r="F11" s="52">
        <f t="shared" ref="F11:L11" si="0">+E17</f>
        <v>7.355995029999999</v>
      </c>
      <c r="G11" s="52">
        <f t="shared" si="0"/>
        <v>8.8975125699999982</v>
      </c>
      <c r="H11" s="52">
        <f t="shared" si="0"/>
        <v>8.4806887299999989</v>
      </c>
      <c r="I11" s="52">
        <f t="shared" si="0"/>
        <v>8.3226854699999997</v>
      </c>
      <c r="J11" s="52">
        <f t="shared" si="0"/>
        <v>10.52460597</v>
      </c>
      <c r="K11" s="52">
        <f t="shared" si="0"/>
        <v>10.89581907</v>
      </c>
      <c r="L11" s="52">
        <f t="shared" si="0"/>
        <v>10.945213580000001</v>
      </c>
      <c r="M11" s="52">
        <f>+L17</f>
        <v>10.479769140000002</v>
      </c>
      <c r="N11" s="52">
        <f>+M17</f>
        <v>14.680762140000001</v>
      </c>
      <c r="O11" s="52">
        <f>+N17</f>
        <v>12.921371140000002</v>
      </c>
      <c r="P11" s="53">
        <f>+E11</f>
        <v>6.7799264599999995</v>
      </c>
      <c r="Q11" s="46"/>
    </row>
    <row r="12" spans="1:25" s="37" customFormat="1" ht="18" customHeight="1" x14ac:dyDescent="0.3">
      <c r="B12" s="50" t="s">
        <v>164</v>
      </c>
      <c r="D12" s="51"/>
      <c r="E12" s="52">
        <f>+C48/10^6</f>
        <v>0.83821375999999992</v>
      </c>
      <c r="F12" s="52">
        <f t="shared" ref="F12:K15" si="1">+D48/10^6</f>
        <v>1.1313998599999999</v>
      </c>
      <c r="G12" s="52">
        <f t="shared" si="1"/>
        <v>0.65697110000000014</v>
      </c>
      <c r="H12" s="52">
        <f t="shared" si="1"/>
        <v>1.3064777299999999</v>
      </c>
      <c r="I12" s="52">
        <f t="shared" si="1"/>
        <v>2.0766917600000001</v>
      </c>
      <c r="J12" s="52">
        <f t="shared" si="1"/>
        <v>1.0590322000000001</v>
      </c>
      <c r="K12" s="52">
        <f t="shared" si="1"/>
        <v>1.23016897</v>
      </c>
      <c r="L12" s="52">
        <f>+'[1]Summary of Activities Report'!$E$46/10^6</f>
        <v>0.96984260999999983</v>
      </c>
      <c r="M12" s="52">
        <f>3008866/10^6</f>
        <v>3.0088659999999998</v>
      </c>
      <c r="N12" s="52">
        <f>2573997/10^6</f>
        <v>2.5739969999999999</v>
      </c>
      <c r="O12" s="52">
        <f>1468065/10^6</f>
        <v>1.468065</v>
      </c>
      <c r="P12" s="53">
        <f>SUM(E12:O12)</f>
        <v>16.319725989999998</v>
      </c>
      <c r="Q12" s="46"/>
    </row>
    <row r="13" spans="1:25" s="37" customFormat="1" ht="18" customHeight="1" x14ac:dyDescent="0.3">
      <c r="B13" s="50" t="s">
        <v>165</v>
      </c>
      <c r="D13" s="51"/>
      <c r="E13" s="52">
        <f>+C49/10^6</f>
        <v>-0.94829133999999993</v>
      </c>
      <c r="F13" s="52">
        <f t="shared" si="1"/>
        <v>-0.81162242999999989</v>
      </c>
      <c r="G13" s="52">
        <f t="shared" si="1"/>
        <v>-1.09932192</v>
      </c>
      <c r="H13" s="52">
        <f t="shared" si="1"/>
        <v>-1.27069422</v>
      </c>
      <c r="I13" s="52">
        <f t="shared" si="1"/>
        <v>-0.94343860000000002</v>
      </c>
      <c r="J13" s="52">
        <f t="shared" si="1"/>
        <v>-1.4037089900000002</v>
      </c>
      <c r="K13" s="52">
        <f t="shared" si="1"/>
        <v>-1.5125359199999999</v>
      </c>
      <c r="L13" s="52">
        <f>+'[1]Summary of Activities Report'!$F$46/10^6</f>
        <v>-1.3504425</v>
      </c>
      <c r="M13" s="52">
        <f>-1406567/10^6</f>
        <v>-1.4065669999999999</v>
      </c>
      <c r="N13" s="52">
        <f>-1616209/10^6</f>
        <v>-1.616209</v>
      </c>
      <c r="O13" s="52">
        <f>-1428340/10^6</f>
        <v>-1.4283399999999999</v>
      </c>
      <c r="P13" s="53">
        <f t="shared" ref="P13:P15" si="2">SUM(E13:O13)</f>
        <v>-13.79117192</v>
      </c>
      <c r="Q13" s="46"/>
      <c r="X13" s="37" t="s">
        <v>166</v>
      </c>
    </row>
    <row r="14" spans="1:25" s="37" customFormat="1" ht="18" customHeight="1" x14ac:dyDescent="0.3">
      <c r="B14" s="50" t="s">
        <v>167</v>
      </c>
      <c r="D14" s="51"/>
      <c r="E14" s="52">
        <f>+C50/10^6</f>
        <v>0.75534582000000006</v>
      </c>
      <c r="F14" s="52">
        <f t="shared" si="1"/>
        <v>1.3001116499999998</v>
      </c>
      <c r="G14" s="52">
        <f t="shared" si="1"/>
        <v>0.11003288000000006</v>
      </c>
      <c r="H14" s="52">
        <f t="shared" si="1"/>
        <v>-0.11325913000000001</v>
      </c>
      <c r="I14" s="52">
        <f t="shared" si="1"/>
        <v>1.1585334100000002</v>
      </c>
      <c r="J14" s="52">
        <f t="shared" si="1"/>
        <v>0.82240797000000032</v>
      </c>
      <c r="K14" s="52">
        <f t="shared" si="1"/>
        <v>0.43931713000000006</v>
      </c>
      <c r="L14" s="52">
        <f>+'[1]Summary of Activities Report'!$G$47/10^6</f>
        <v>4.5046309999999999E-2</v>
      </c>
      <c r="M14" s="52">
        <f>(2715821)/10^6</f>
        <v>2.715821</v>
      </c>
      <c r="N14" s="52">
        <f>+(332282-2898796)/10^6</f>
        <v>-2.5665140000000002</v>
      </c>
      <c r="O14" s="52">
        <f>+(255597+1243934)/10^6</f>
        <v>1.4995309999999999</v>
      </c>
      <c r="P14" s="53">
        <f t="shared" si="2"/>
        <v>6.16637404</v>
      </c>
      <c r="Q14" s="46"/>
    </row>
    <row r="15" spans="1:25" s="37" customFormat="1" ht="18" customHeight="1" x14ac:dyDescent="0.3">
      <c r="B15" s="50" t="s">
        <v>168</v>
      </c>
      <c r="D15" s="51"/>
      <c r="E15" s="54">
        <f>+C51/10^6</f>
        <v>-6.9199670000000019E-2</v>
      </c>
      <c r="F15" s="54">
        <f t="shared" si="1"/>
        <v>-7.8371540000000031E-2</v>
      </c>
      <c r="G15" s="54">
        <f t="shared" si="1"/>
        <v>-8.4505899999999995E-2</v>
      </c>
      <c r="H15" s="54">
        <f t="shared" si="1"/>
        <v>-8.0527640000000011E-2</v>
      </c>
      <c r="I15" s="54">
        <f t="shared" si="1"/>
        <v>-8.9866070000000034E-2</v>
      </c>
      <c r="J15" s="54">
        <f t="shared" si="1"/>
        <v>-0.10651808000000003</v>
      </c>
      <c r="K15" s="54">
        <f t="shared" si="1"/>
        <v>-0.10755566999999999</v>
      </c>
      <c r="L15" s="54">
        <f>+'[1]Summary of Activities Report'!$H$46/10^6</f>
        <v>-0.12989086</v>
      </c>
      <c r="M15" s="55">
        <f>-117127/10^6</f>
        <v>-0.117127</v>
      </c>
      <c r="N15" s="54">
        <f>-150665/10^6</f>
        <v>-0.15066499999999999</v>
      </c>
      <c r="O15" s="54">
        <f>-134056/10^6</f>
        <v>-0.13405600000000001</v>
      </c>
      <c r="P15" s="98">
        <f t="shared" si="2"/>
        <v>-1.1482834300000002</v>
      </c>
      <c r="Q15" s="56"/>
      <c r="Y15" s="57">
        <v>-1242047.3999999999</v>
      </c>
    </row>
    <row r="16" spans="1:25" s="37" customFormat="1" ht="18" customHeight="1" x14ac:dyDescent="0.3">
      <c r="B16" s="50"/>
      <c r="D16" s="51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3"/>
      <c r="Q16" s="46"/>
      <c r="W16" s="37" t="s">
        <v>73</v>
      </c>
      <c r="X16" s="59">
        <v>1638838.98</v>
      </c>
    </row>
    <row r="17" spans="1:25" s="37" customFormat="1" ht="19.5" thickBot="1" x14ac:dyDescent="0.35">
      <c r="B17" s="50" t="s">
        <v>169</v>
      </c>
      <c r="D17" s="51"/>
      <c r="E17" s="60">
        <f t="shared" ref="E17:N17" si="3">SUM(E11:E15)</f>
        <v>7.355995029999999</v>
      </c>
      <c r="F17" s="60">
        <f t="shared" si="3"/>
        <v>8.8975125699999982</v>
      </c>
      <c r="G17" s="60">
        <f t="shared" si="3"/>
        <v>8.4806887299999989</v>
      </c>
      <c r="H17" s="60">
        <f t="shared" si="3"/>
        <v>8.3226854699999997</v>
      </c>
      <c r="I17" s="60">
        <f t="shared" si="3"/>
        <v>10.52460597</v>
      </c>
      <c r="J17" s="60">
        <f t="shared" si="3"/>
        <v>10.89581907</v>
      </c>
      <c r="K17" s="60">
        <f t="shared" si="3"/>
        <v>10.945213580000001</v>
      </c>
      <c r="L17" s="60">
        <f t="shared" si="3"/>
        <v>10.479769140000002</v>
      </c>
      <c r="M17" s="60">
        <f t="shared" si="3"/>
        <v>14.680762140000001</v>
      </c>
      <c r="N17" s="60">
        <f t="shared" si="3"/>
        <v>12.921371140000002</v>
      </c>
      <c r="O17" s="60">
        <f t="shared" ref="O17" si="4">SUM(O11:O15)</f>
        <v>14.32657114</v>
      </c>
      <c r="P17" s="61">
        <f>SUM(P11:P15)</f>
        <v>14.326571139999999</v>
      </c>
      <c r="Q17" s="62"/>
      <c r="W17" s="37" t="s">
        <v>72</v>
      </c>
      <c r="X17" s="59"/>
    </row>
    <row r="18" spans="1:25" s="37" customFormat="1" ht="12.75" customHeight="1" thickTop="1" x14ac:dyDescent="0.3">
      <c r="A18" s="51"/>
      <c r="B18" s="51"/>
      <c r="D18" s="51"/>
      <c r="F18" s="22"/>
      <c r="G18" s="22"/>
      <c r="H18" s="22"/>
      <c r="I18" s="52"/>
      <c r="J18" s="22"/>
      <c r="K18" s="63"/>
      <c r="L18" s="63"/>
      <c r="M18" s="22"/>
      <c r="N18" s="22"/>
      <c r="O18" s="22"/>
      <c r="P18" s="64"/>
      <c r="Q18" s="56"/>
      <c r="W18" s="65" t="s">
        <v>71</v>
      </c>
      <c r="X18" s="59">
        <v>297559.17</v>
      </c>
      <c r="Y18" s="66">
        <f>+X18+X20</f>
        <v>2009430.2699999998</v>
      </c>
    </row>
    <row r="19" spans="1:25" s="37" customFormat="1" ht="18.75" x14ac:dyDescent="0.3">
      <c r="B19" s="6"/>
      <c r="D19" s="22"/>
      <c r="E19" s="52">
        <f>+E14+E15</f>
        <v>0.68614615000000001</v>
      </c>
      <c r="F19" s="52">
        <f t="shared" ref="F19:M19" si="5">+F14+F15</f>
        <v>1.2217401099999998</v>
      </c>
      <c r="G19" s="52">
        <f t="shared" si="5"/>
        <v>2.552698000000006E-2</v>
      </c>
      <c r="H19" s="52">
        <f t="shared" si="5"/>
        <v>-0.19378677000000002</v>
      </c>
      <c r="I19" s="52">
        <f t="shared" si="5"/>
        <v>1.0686673400000002</v>
      </c>
      <c r="J19" s="52">
        <f t="shared" si="5"/>
        <v>0.71588989000000025</v>
      </c>
      <c r="K19" s="52">
        <f t="shared" si="5"/>
        <v>0.33176146000000006</v>
      </c>
      <c r="L19" s="52">
        <f t="shared" si="5"/>
        <v>-8.4844549999999991E-2</v>
      </c>
      <c r="M19" s="52">
        <f t="shared" si="5"/>
        <v>2.5986940000000001</v>
      </c>
      <c r="N19" s="52">
        <f t="shared" ref="N19:O19" si="6">+N14+N15</f>
        <v>-2.7171790000000002</v>
      </c>
      <c r="O19" s="52">
        <f t="shared" si="6"/>
        <v>1.365475</v>
      </c>
      <c r="P19" s="52"/>
      <c r="W19" s="65" t="s">
        <v>170</v>
      </c>
      <c r="X19" s="59">
        <v>-75</v>
      </c>
    </row>
    <row r="20" spans="1:25" s="37" customFormat="1" ht="18.75" x14ac:dyDescent="0.3">
      <c r="B20" s="6"/>
      <c r="D20" s="22"/>
      <c r="E20" s="67">
        <f>+E19/E17</f>
        <v>9.3277136159239646E-2</v>
      </c>
      <c r="F20" s="67">
        <f t="shared" ref="F20:M20" si="7">+F19/F17</f>
        <v>0.13731254666831003</v>
      </c>
      <c r="G20" s="67">
        <f t="shared" si="7"/>
        <v>3.0100126077849888E-3</v>
      </c>
      <c r="H20" s="67">
        <f t="shared" si="7"/>
        <v>-2.3284163591009769E-2</v>
      </c>
      <c r="I20" s="67">
        <f t="shared" si="7"/>
        <v>0.10153989071383736</v>
      </c>
      <c r="J20" s="67">
        <f t="shared" si="7"/>
        <v>6.5703173428337799E-2</v>
      </c>
      <c r="K20" s="67">
        <f t="shared" si="7"/>
        <v>3.0311099694410901E-2</v>
      </c>
      <c r="L20" s="67">
        <f t="shared" si="7"/>
        <v>-8.0960323521019825E-3</v>
      </c>
      <c r="M20" s="67">
        <f t="shared" si="7"/>
        <v>0.17701356204930652</v>
      </c>
      <c r="N20" s="67">
        <f t="shared" ref="N20:O20" si="8">+N19/N17</f>
        <v>-0.21028565548965417</v>
      </c>
      <c r="O20" s="67">
        <f t="shared" si="8"/>
        <v>9.5310663427871686E-2</v>
      </c>
      <c r="P20" s="67"/>
      <c r="W20" s="37" t="s">
        <v>70</v>
      </c>
      <c r="X20" s="59">
        <v>1711871.0999999999</v>
      </c>
    </row>
    <row r="21" spans="1:25" s="37" customFormat="1" ht="18.75" customHeight="1" x14ac:dyDescent="0.25">
      <c r="A21" s="22"/>
      <c r="B21" s="68" t="s">
        <v>171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W21" s="37" t="s">
        <v>69</v>
      </c>
      <c r="X21" s="59">
        <v>-85190.720000000001</v>
      </c>
    </row>
    <row r="22" spans="1:25" ht="18.75" x14ac:dyDescent="0.3">
      <c r="A22" s="69"/>
      <c r="B22" s="70"/>
      <c r="W22" s="22" t="s">
        <v>67</v>
      </c>
      <c r="X22" s="57"/>
    </row>
    <row r="23" spans="1:25" ht="24" thickBot="1" x14ac:dyDescent="0.4">
      <c r="A23" s="69"/>
      <c r="B23" s="43" t="s">
        <v>172</v>
      </c>
      <c r="E23" s="71">
        <v>69</v>
      </c>
      <c r="F23" s="71">
        <v>77</v>
      </c>
      <c r="G23" s="71">
        <v>89</v>
      </c>
      <c r="H23" s="71">
        <v>103</v>
      </c>
      <c r="I23" s="71">
        <v>119</v>
      </c>
      <c r="J23" s="71">
        <v>122</v>
      </c>
      <c r="K23" s="71">
        <v>122</v>
      </c>
      <c r="L23" s="71">
        <v>121</v>
      </c>
      <c r="M23" s="71">
        <f>+L23</f>
        <v>121</v>
      </c>
      <c r="N23" s="71">
        <f>30+74+11+24</f>
        <v>139</v>
      </c>
      <c r="O23" s="71">
        <v>151</v>
      </c>
      <c r="P23" s="71"/>
      <c r="W23" s="22" t="s">
        <v>66</v>
      </c>
      <c r="X23" s="57"/>
    </row>
    <row r="24" spans="1:25" ht="15.75" thickTop="1" x14ac:dyDescent="0.25">
      <c r="W24" s="22" t="s">
        <v>65</v>
      </c>
    </row>
    <row r="25" spans="1:25" x14ac:dyDescent="0.25">
      <c r="B25" s="37"/>
      <c r="X25" s="57">
        <v>2320956.13</v>
      </c>
    </row>
    <row r="26" spans="1:25" x14ac:dyDescent="0.25">
      <c r="B26" s="37"/>
      <c r="X26" s="57"/>
    </row>
    <row r="27" spans="1:25" x14ac:dyDescent="0.25">
      <c r="B27" s="37"/>
      <c r="X27" s="57"/>
    </row>
    <row r="28" spans="1:25" x14ac:dyDescent="0.25">
      <c r="B28" s="37"/>
      <c r="X28" s="57"/>
    </row>
    <row r="29" spans="1:25" x14ac:dyDescent="0.25">
      <c r="B29" s="37"/>
      <c r="X29" s="57"/>
    </row>
    <row r="30" spans="1:25" x14ac:dyDescent="0.25">
      <c r="B30" s="37"/>
      <c r="X30" s="57"/>
    </row>
    <row r="31" spans="1:25" x14ac:dyDescent="0.25">
      <c r="B31" s="37"/>
      <c r="X31" s="57"/>
    </row>
    <row r="32" spans="1:25" x14ac:dyDescent="0.25">
      <c r="B32" s="37"/>
      <c r="X32" s="57"/>
    </row>
    <row r="33" spans="2:24" x14ac:dyDescent="0.25">
      <c r="B33" s="37"/>
      <c r="X33" s="57"/>
    </row>
    <row r="34" spans="2:24" x14ac:dyDescent="0.25">
      <c r="B34" s="37"/>
      <c r="X34" s="57"/>
    </row>
    <row r="35" spans="2:24" x14ac:dyDescent="0.25">
      <c r="B35" s="37"/>
      <c r="X35" s="57"/>
    </row>
    <row r="36" spans="2:24" x14ac:dyDescent="0.25">
      <c r="B36" s="37"/>
      <c r="X36" s="57"/>
    </row>
    <row r="37" spans="2:24" x14ac:dyDescent="0.25">
      <c r="B37" s="37"/>
      <c r="X37" s="57"/>
    </row>
    <row r="38" spans="2:24" x14ac:dyDescent="0.25">
      <c r="B38" s="37"/>
      <c r="X38" s="57"/>
    </row>
    <row r="39" spans="2:24" x14ac:dyDescent="0.25">
      <c r="B39" s="37"/>
      <c r="X39" s="57"/>
    </row>
    <row r="40" spans="2:24" x14ac:dyDescent="0.25">
      <c r="B40" s="37"/>
      <c r="X40" s="57"/>
    </row>
    <row r="41" spans="2:24" x14ac:dyDescent="0.25">
      <c r="X41" s="57"/>
    </row>
    <row r="43" spans="2:24" x14ac:dyDescent="0.25">
      <c r="B43" s="75" t="s">
        <v>173</v>
      </c>
      <c r="C43" s="72" t="s">
        <v>174</v>
      </c>
      <c r="D43"/>
      <c r="E43"/>
      <c r="F43"/>
      <c r="G43"/>
      <c r="H43"/>
      <c r="I43"/>
      <c r="J43"/>
    </row>
    <row r="44" spans="2:24" x14ac:dyDescent="0.25">
      <c r="B44"/>
      <c r="C44"/>
      <c r="D44"/>
      <c r="E44"/>
      <c r="F44"/>
      <c r="G44"/>
      <c r="H44"/>
      <c r="I44"/>
      <c r="J44"/>
    </row>
    <row r="45" spans="2:24" x14ac:dyDescent="0.25">
      <c r="B45" s="72"/>
      <c r="C45" s="75" t="s">
        <v>175</v>
      </c>
      <c r="D45" s="72"/>
      <c r="E45" s="72"/>
      <c r="F45" s="72"/>
      <c r="G45" s="72"/>
      <c r="H45" s="72"/>
      <c r="I45" s="72"/>
      <c r="J45" s="72"/>
    </row>
    <row r="46" spans="2:24" x14ac:dyDescent="0.25">
      <c r="B46" s="75" t="s">
        <v>176</v>
      </c>
      <c r="C46" s="72">
        <v>13</v>
      </c>
      <c r="D46" s="72">
        <v>14</v>
      </c>
      <c r="E46" s="72">
        <v>15</v>
      </c>
      <c r="F46" s="72">
        <v>16</v>
      </c>
      <c r="G46" s="72">
        <v>17</v>
      </c>
      <c r="H46" s="72">
        <v>18</v>
      </c>
      <c r="I46" s="72">
        <v>19</v>
      </c>
      <c r="J46" s="72" t="s">
        <v>177</v>
      </c>
    </row>
    <row r="47" spans="2:24" x14ac:dyDescent="0.25">
      <c r="B47" s="73" t="s">
        <v>178</v>
      </c>
      <c r="C47" s="73">
        <v>6779926.46</v>
      </c>
      <c r="D47" s="73">
        <v>7355995.04</v>
      </c>
      <c r="E47" s="73">
        <v>8897512.5799999945</v>
      </c>
      <c r="F47" s="74">
        <v>8480688.7400000002</v>
      </c>
      <c r="G47" s="73">
        <v>8322685.4800000004</v>
      </c>
      <c r="H47" s="73">
        <v>10524606.049999999</v>
      </c>
      <c r="I47" s="73">
        <v>10895819.149999999</v>
      </c>
      <c r="J47" s="73">
        <v>61257233.499999993</v>
      </c>
    </row>
    <row r="48" spans="2:24" x14ac:dyDescent="0.25">
      <c r="B48" s="73" t="s">
        <v>179</v>
      </c>
      <c r="C48" s="73">
        <v>838213.75999999989</v>
      </c>
      <c r="D48" s="73">
        <v>1131399.8599999999</v>
      </c>
      <c r="E48" s="73">
        <v>656971.10000000009</v>
      </c>
      <c r="F48" s="74">
        <v>1306477.73</v>
      </c>
      <c r="G48" s="73">
        <v>2076691.76</v>
      </c>
      <c r="H48" s="73">
        <v>1059032.2000000002</v>
      </c>
      <c r="I48" s="73">
        <v>1230168.97</v>
      </c>
      <c r="J48" s="73">
        <v>8298955.3799999999</v>
      </c>
    </row>
    <row r="49" spans="2:10" x14ac:dyDescent="0.25">
      <c r="B49" s="73" t="s">
        <v>180</v>
      </c>
      <c r="C49" s="73">
        <v>-948291.34</v>
      </c>
      <c r="D49" s="73">
        <v>-811622.42999999993</v>
      </c>
      <c r="E49" s="73">
        <v>-1099321.92</v>
      </c>
      <c r="F49" s="74">
        <v>-1270694.22</v>
      </c>
      <c r="G49" s="73">
        <v>-943438.6</v>
      </c>
      <c r="H49" s="73">
        <v>-1403708.9900000002</v>
      </c>
      <c r="I49" s="73">
        <v>-1512535.92</v>
      </c>
      <c r="J49" s="73">
        <v>-7989613.4199999999</v>
      </c>
    </row>
    <row r="50" spans="2:10" x14ac:dyDescent="0.25">
      <c r="B50" s="73" t="s">
        <v>181</v>
      </c>
      <c r="C50" s="73">
        <v>755345.82000000007</v>
      </c>
      <c r="D50" s="73">
        <v>1300111.6499999999</v>
      </c>
      <c r="E50" s="73">
        <v>110032.88000000005</v>
      </c>
      <c r="F50" s="74">
        <v>-113259.13000000002</v>
      </c>
      <c r="G50" s="73">
        <v>1158533.4100000001</v>
      </c>
      <c r="H50" s="73">
        <v>822407.97000000032</v>
      </c>
      <c r="I50" s="73">
        <v>439317.13000000006</v>
      </c>
      <c r="J50" s="73">
        <v>4472489.7300000004</v>
      </c>
    </row>
    <row r="51" spans="2:10" x14ac:dyDescent="0.25">
      <c r="B51" s="73" t="s">
        <v>182</v>
      </c>
      <c r="C51" s="73">
        <v>-69199.670000000013</v>
      </c>
      <c r="D51" s="73">
        <v>-78371.540000000037</v>
      </c>
      <c r="E51" s="73">
        <v>-84505.9</v>
      </c>
      <c r="F51" s="74">
        <v>-80527.640000000014</v>
      </c>
      <c r="G51" s="73">
        <v>-89866.070000000036</v>
      </c>
      <c r="H51" s="73">
        <v>-106518.08000000003</v>
      </c>
      <c r="I51" s="73">
        <v>-107555.67</v>
      </c>
      <c r="J51" s="73">
        <v>-616544.57000000007</v>
      </c>
    </row>
    <row r="52" spans="2:10" x14ac:dyDescent="0.25">
      <c r="B52" s="73" t="s">
        <v>183</v>
      </c>
      <c r="C52" s="73">
        <v>7355995.04</v>
      </c>
      <c r="D52" s="73">
        <v>8897512.5799999945</v>
      </c>
      <c r="E52" s="73">
        <v>8480688.7400000002</v>
      </c>
      <c r="F52" s="74">
        <v>8322685.4800000004</v>
      </c>
      <c r="G52" s="73">
        <v>10524606.049999999</v>
      </c>
      <c r="H52" s="73">
        <v>10895819.15</v>
      </c>
      <c r="I52" s="73">
        <v>10945213.660000002</v>
      </c>
      <c r="J52" s="73">
        <v>65422520.699999996</v>
      </c>
    </row>
    <row r="53" spans="2:10" x14ac:dyDescent="0.25">
      <c r="B53"/>
      <c r="C53"/>
      <c r="D53"/>
      <c r="E53"/>
      <c r="F53" s="73"/>
      <c r="G53"/>
      <c r="H53"/>
      <c r="I53"/>
      <c r="J53"/>
    </row>
    <row r="54" spans="2:10" x14ac:dyDescent="0.25">
      <c r="I54" s="22" t="e">
        <f>+GETPIVOTDATA("Sum of Beginning Balance",'[2]SOA Jul19_Apr20'!$D$134)</f>
        <v>#REF!</v>
      </c>
    </row>
    <row r="55" spans="2:10" x14ac:dyDescent="0.25">
      <c r="I55" s="22" t="e">
        <f>+I54-GETPIVOTDATA("Sum of Ending Balance",$B$45,"FY",19)</f>
        <v>#REF!</v>
      </c>
    </row>
  </sheetData>
  <mergeCells count="5">
    <mergeCell ref="A1:P1"/>
    <mergeCell ref="A2:P2"/>
    <mergeCell ref="A3:P3"/>
    <mergeCell ref="A4:P4"/>
    <mergeCell ref="A5:P5"/>
  </mergeCells>
  <phoneticPr fontId="2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800DB-9F2F-40F9-942B-7C1221A2B2AF}">
  <dimension ref="B1:AB44"/>
  <sheetViews>
    <sheetView zoomScale="130" zoomScaleNormal="130" workbookViewId="0">
      <selection activeCell="C14" sqref="C14"/>
    </sheetView>
  </sheetViews>
  <sheetFormatPr defaultColWidth="9.140625" defaultRowHeight="15" x14ac:dyDescent="0.25"/>
  <cols>
    <col min="1" max="1" width="5.42578125" style="6" customWidth="1"/>
    <col min="2" max="2" width="33.85546875" style="6" customWidth="1"/>
    <col min="3" max="3" width="14.5703125" style="6" customWidth="1"/>
    <col min="4" max="4" width="14.7109375" style="6" bestFit="1" customWidth="1"/>
    <col min="5" max="5" width="5.140625" style="6" customWidth="1"/>
    <col min="6" max="6" width="14.28515625" style="6" bestFit="1" customWidth="1"/>
    <col min="7" max="11" width="10.28515625" style="6" customWidth="1"/>
    <col min="12" max="12" width="13.5703125" style="6" bestFit="1" customWidth="1"/>
    <col min="13" max="13" width="13.28515625" style="6" bestFit="1" customWidth="1"/>
    <col min="14" max="18" width="10.28515625" style="6" customWidth="1"/>
    <col min="19" max="19" width="14.28515625" style="6" bestFit="1" customWidth="1"/>
    <col min="20" max="20" width="12.5703125" style="6" customWidth="1"/>
    <col min="21" max="21" width="11.28515625" style="6" bestFit="1" customWidth="1"/>
    <col min="22" max="23" width="9.140625" style="6"/>
    <col min="24" max="24" width="16.5703125" style="6" customWidth="1"/>
    <col min="25" max="25" width="15.7109375" style="6" customWidth="1"/>
    <col min="26" max="26" width="16.85546875" style="6" customWidth="1"/>
    <col min="27" max="16384" width="9.140625" style="6"/>
  </cols>
  <sheetData>
    <row r="1" spans="2:28" ht="18" customHeight="1" x14ac:dyDescent="0.25">
      <c r="B1" s="266" t="s">
        <v>135</v>
      </c>
      <c r="C1" s="266"/>
      <c r="D1" s="266"/>
      <c r="E1" s="266"/>
      <c r="F1" s="266"/>
    </row>
    <row r="2" spans="2:28" ht="21" x14ac:dyDescent="0.25">
      <c r="B2" s="266" t="s">
        <v>136</v>
      </c>
      <c r="C2" s="266"/>
      <c r="D2" s="266"/>
      <c r="E2" s="266"/>
      <c r="F2" s="266"/>
    </row>
    <row r="3" spans="2:28" ht="21" customHeight="1" x14ac:dyDescent="0.25">
      <c r="B3" s="266" t="s">
        <v>258</v>
      </c>
      <c r="C3" s="266"/>
      <c r="D3" s="266"/>
      <c r="E3" s="266"/>
      <c r="F3" s="266"/>
    </row>
    <row r="4" spans="2:28" ht="18" customHeight="1" x14ac:dyDescent="0.25">
      <c r="B4" s="266" t="s">
        <v>137</v>
      </c>
      <c r="C4" s="266"/>
      <c r="D4" s="266"/>
      <c r="E4" s="266"/>
      <c r="F4" s="266"/>
    </row>
    <row r="6" spans="2:28" ht="12.95" customHeight="1" x14ac:dyDescent="0.25">
      <c r="D6" s="7"/>
      <c r="E6" s="8"/>
      <c r="F6" s="9"/>
      <c r="L6" s="6" t="s">
        <v>202</v>
      </c>
    </row>
    <row r="7" spans="2:28" ht="12.95" customHeight="1" x14ac:dyDescent="0.25">
      <c r="D7" s="7"/>
      <c r="E7" s="8"/>
      <c r="F7" s="10"/>
    </row>
    <row r="8" spans="2:28" ht="12.95" hidden="1" customHeight="1" x14ac:dyDescent="0.25">
      <c r="D8" s="7"/>
      <c r="E8" s="8"/>
      <c r="F8" s="9"/>
      <c r="V8"/>
      <c r="W8"/>
      <c r="X8"/>
      <c r="Y8"/>
      <c r="Z8"/>
      <c r="AA8"/>
    </row>
    <row r="9" spans="2:28" ht="12.95" customHeight="1" x14ac:dyDescent="0.25">
      <c r="C9" s="11"/>
      <c r="D9" s="12"/>
      <c r="E9" s="13"/>
      <c r="F9" s="14" t="s">
        <v>259</v>
      </c>
      <c r="L9" s="6" t="s">
        <v>201</v>
      </c>
      <c r="M9" s="6" t="s">
        <v>199</v>
      </c>
      <c r="V9"/>
      <c r="W9"/>
      <c r="X9"/>
      <c r="Y9"/>
      <c r="Z9"/>
      <c r="AA9"/>
    </row>
    <row r="10" spans="2:28" ht="12.95" customHeight="1" x14ac:dyDescent="0.25">
      <c r="B10" s="15" t="s">
        <v>138</v>
      </c>
      <c r="C10" s="11"/>
      <c r="D10" s="12"/>
      <c r="E10" s="13"/>
      <c r="F10" s="16"/>
      <c r="V10"/>
      <c r="W10"/>
      <c r="X10"/>
      <c r="Y10"/>
      <c r="Z10"/>
      <c r="AA10"/>
      <c r="AB10" s="17"/>
    </row>
    <row r="11" spans="2:28" ht="12.95" customHeight="1" x14ac:dyDescent="0.25">
      <c r="B11" s="18" t="s">
        <v>139</v>
      </c>
      <c r="D11" s="19"/>
      <c r="E11" s="13"/>
      <c r="F11" s="20">
        <v>4314478.78</v>
      </c>
      <c r="L11" s="21">
        <v>3201659</v>
      </c>
      <c r="M11" s="21">
        <f>+F11-L11</f>
        <v>1112819.7800000003</v>
      </c>
      <c r="S11" s="21"/>
      <c r="V11"/>
      <c r="W11"/>
      <c r="X11"/>
      <c r="Y11"/>
      <c r="Z11"/>
      <c r="AA11"/>
      <c r="AB11" s="22"/>
    </row>
    <row r="12" spans="2:28" ht="12.95" hidden="1" customHeight="1" x14ac:dyDescent="0.25">
      <c r="D12" s="23"/>
      <c r="F12" s="16"/>
      <c r="L12" s="21"/>
      <c r="S12" s="21"/>
      <c r="V12"/>
      <c r="W12"/>
      <c r="X12"/>
      <c r="Y12"/>
      <c r="Z12"/>
      <c r="AA12"/>
      <c r="AB12" s="22"/>
    </row>
    <row r="13" spans="2:28" ht="12.95" customHeight="1" x14ac:dyDescent="0.25">
      <c r="D13" s="23"/>
      <c r="F13" s="16"/>
      <c r="L13" s="21"/>
      <c r="S13" s="21"/>
      <c r="V13"/>
      <c r="W13"/>
      <c r="X13"/>
      <c r="Y13"/>
      <c r="Z13"/>
      <c r="AA13"/>
      <c r="AB13" s="22"/>
    </row>
    <row r="14" spans="2:28" ht="12.95" customHeight="1" x14ac:dyDescent="0.25">
      <c r="B14" s="15" t="s">
        <v>140</v>
      </c>
      <c r="D14" s="23"/>
      <c r="F14" s="24"/>
      <c r="L14" s="21"/>
      <c r="S14" s="21"/>
      <c r="V14"/>
      <c r="W14"/>
      <c r="X14"/>
      <c r="Y14"/>
      <c r="Z14"/>
      <c r="AA14"/>
    </row>
    <row r="15" spans="2:28" ht="12.95" hidden="1" customHeight="1" x14ac:dyDescent="0.25">
      <c r="D15" s="23"/>
      <c r="F15" s="16"/>
      <c r="L15" s="21"/>
      <c r="S15" s="21"/>
      <c r="V15"/>
      <c r="W15"/>
      <c r="X15"/>
      <c r="Y15"/>
      <c r="Z15"/>
      <c r="AA15"/>
    </row>
    <row r="16" spans="2:28" ht="12.95" customHeight="1" x14ac:dyDescent="0.25">
      <c r="B16" s="18" t="s">
        <v>141</v>
      </c>
      <c r="C16" s="18"/>
      <c r="D16" s="23"/>
      <c r="F16" s="16">
        <v>4654433.1500000004</v>
      </c>
      <c r="G16" s="25"/>
      <c r="H16" s="25"/>
      <c r="I16" s="25"/>
      <c r="J16" s="25"/>
      <c r="K16" s="25"/>
      <c r="L16" s="25">
        <v>7176043</v>
      </c>
      <c r="M16" s="21">
        <f>+F16-L16</f>
        <v>-2521609.8499999996</v>
      </c>
      <c r="N16" s="25"/>
      <c r="O16" s="25"/>
      <c r="P16" s="25"/>
      <c r="Q16" s="25"/>
      <c r="R16" s="25"/>
      <c r="S16" s="21"/>
      <c r="T16" s="26"/>
      <c r="V16"/>
      <c r="W16"/>
      <c r="X16"/>
      <c r="Y16"/>
      <c r="Z16"/>
      <c r="AA16"/>
    </row>
    <row r="17" spans="2:27" ht="12.95" customHeight="1" x14ac:dyDescent="0.25">
      <c r="D17" s="23"/>
      <c r="L17" s="21"/>
      <c r="S17" s="21"/>
      <c r="V17"/>
      <c r="W17"/>
      <c r="X17"/>
      <c r="Y17"/>
      <c r="Z17"/>
      <c r="AA17"/>
    </row>
    <row r="18" spans="2:27" ht="12.95" hidden="1" customHeight="1" x14ac:dyDescent="0.25">
      <c r="D18" s="23"/>
      <c r="F18" s="16"/>
      <c r="L18" s="21"/>
      <c r="V18"/>
      <c r="W18"/>
      <c r="X18"/>
      <c r="Y18"/>
      <c r="Z18"/>
      <c r="AA18"/>
    </row>
    <row r="19" spans="2:27" ht="12.95" customHeight="1" x14ac:dyDescent="0.25">
      <c r="B19" s="15" t="s">
        <v>142</v>
      </c>
      <c r="D19" s="23"/>
      <c r="F19" s="24"/>
      <c r="L19" s="21"/>
      <c r="V19"/>
      <c r="W19"/>
      <c r="X19"/>
      <c r="Y19"/>
      <c r="Z19"/>
      <c r="AA19"/>
    </row>
    <row r="20" spans="2:27" ht="12.95" hidden="1" customHeight="1" x14ac:dyDescent="0.25">
      <c r="D20" s="27"/>
      <c r="F20" s="16"/>
      <c r="L20" s="21"/>
    </row>
    <row r="21" spans="2:27" ht="12.95" customHeight="1" x14ac:dyDescent="0.25">
      <c r="B21" s="18" t="s">
        <v>143</v>
      </c>
      <c r="C21" s="18"/>
      <c r="D21" s="21"/>
      <c r="F21" s="16">
        <v>693961.34</v>
      </c>
      <c r="G21" s="25"/>
      <c r="H21" s="25"/>
      <c r="I21" s="25"/>
      <c r="J21" s="25"/>
      <c r="K21" s="25"/>
      <c r="L21" s="25">
        <v>846660</v>
      </c>
      <c r="M21" s="21">
        <f>+F21-L21</f>
        <v>-152698.66000000003</v>
      </c>
      <c r="N21" s="25"/>
      <c r="O21" s="25"/>
      <c r="P21" s="25"/>
      <c r="Q21" s="25"/>
      <c r="R21" s="25"/>
      <c r="S21" s="26"/>
      <c r="T21" s="26"/>
    </row>
    <row r="22" spans="2:27" ht="12.95" customHeight="1" x14ac:dyDescent="0.25">
      <c r="D22" s="21"/>
      <c r="F22" s="16"/>
      <c r="L22" s="21"/>
    </row>
    <row r="23" spans="2:27" ht="12.95" hidden="1" customHeight="1" x14ac:dyDescent="0.25">
      <c r="F23" s="16"/>
      <c r="L23" s="21"/>
    </row>
    <row r="24" spans="2:27" ht="12.95" customHeight="1" x14ac:dyDescent="0.25">
      <c r="B24" s="15" t="s">
        <v>185</v>
      </c>
      <c r="F24" s="28">
        <v>4466860.7699999996</v>
      </c>
      <c r="L24" s="21">
        <v>4752663</v>
      </c>
      <c r="M24" s="21">
        <f>+F24-L24</f>
        <v>-285802.23000000045</v>
      </c>
    </row>
    <row r="25" spans="2:27" ht="12.95" hidden="1" customHeight="1" x14ac:dyDescent="0.25">
      <c r="F25" s="29"/>
      <c r="L25" s="21"/>
    </row>
    <row r="26" spans="2:27" ht="12.95" customHeight="1" x14ac:dyDescent="0.25">
      <c r="F26" s="29"/>
      <c r="L26" s="21"/>
    </row>
    <row r="27" spans="2:27" ht="12.95" customHeight="1" x14ac:dyDescent="0.25">
      <c r="B27" s="15" t="s">
        <v>144</v>
      </c>
      <c r="F27" s="30">
        <v>328834.38</v>
      </c>
      <c r="L27" s="91">
        <v>496286</v>
      </c>
      <c r="M27" s="91">
        <f>+F27-L27</f>
        <v>-167451.62</v>
      </c>
    </row>
    <row r="28" spans="2:27" ht="12.95" customHeight="1" x14ac:dyDescent="0.25">
      <c r="B28" s="15"/>
      <c r="T28" s="31"/>
    </row>
    <row r="29" spans="2:27" ht="15.75" thickBot="1" x14ac:dyDescent="0.3">
      <c r="B29" s="15" t="s">
        <v>145</v>
      </c>
      <c r="F29" s="32">
        <f>SUM(F11:F28)</f>
        <v>14458568.42</v>
      </c>
      <c r="L29" s="32">
        <f>SUM(L11:L28)</f>
        <v>16473311</v>
      </c>
      <c r="M29" s="32">
        <f>SUM(M11:M28)</f>
        <v>-2014742.58</v>
      </c>
    </row>
    <row r="30" spans="2:27" ht="15.75" thickTop="1" x14ac:dyDescent="0.25">
      <c r="B30" s="15"/>
      <c r="F30" s="33"/>
    </row>
    <row r="31" spans="2:27" x14ac:dyDescent="0.25">
      <c r="B31" s="15"/>
      <c r="F31" s="33"/>
    </row>
    <row r="32" spans="2:27" x14ac:dyDescent="0.25">
      <c r="B32" s="15"/>
      <c r="F32" s="33"/>
    </row>
    <row r="33" spans="2:28" x14ac:dyDescent="0.25">
      <c r="B33" s="15"/>
      <c r="F33" s="21"/>
    </row>
    <row r="34" spans="2:28" x14ac:dyDescent="0.25">
      <c r="D34" s="6" t="s">
        <v>146</v>
      </c>
      <c r="F34" s="31">
        <f>+F29-F27</f>
        <v>14129734.039999999</v>
      </c>
    </row>
    <row r="36" spans="2:28" x14ac:dyDescent="0.25">
      <c r="F36" s="34"/>
      <c r="S36" s="35"/>
    </row>
    <row r="37" spans="2:28" x14ac:dyDescent="0.25">
      <c r="D37" s="80"/>
      <c r="F37" s="36"/>
    </row>
    <row r="38" spans="2:28" x14ac:dyDescent="0.25">
      <c r="F38" s="36"/>
      <c r="AB38" s="6" t="s">
        <v>147</v>
      </c>
    </row>
    <row r="39" spans="2:28" x14ac:dyDescent="0.25">
      <c r="F39" s="36"/>
      <c r="AB39" s="6" t="s">
        <v>148</v>
      </c>
    </row>
    <row r="40" spans="2:28" x14ac:dyDescent="0.25">
      <c r="F40" s="36"/>
      <c r="AB40" s="6" t="s">
        <v>149</v>
      </c>
    </row>
    <row r="41" spans="2:28" x14ac:dyDescent="0.25">
      <c r="F41" s="36"/>
      <c r="AB41" s="6" t="s">
        <v>150</v>
      </c>
    </row>
    <row r="42" spans="2:28" x14ac:dyDescent="0.25">
      <c r="F42" s="25"/>
    </row>
    <row r="43" spans="2:28" x14ac:dyDescent="0.25">
      <c r="F43" s="25"/>
    </row>
    <row r="44" spans="2:28" x14ac:dyDescent="0.25">
      <c r="F44" s="25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16" sqref="A16"/>
    </sheetView>
  </sheetViews>
  <sheetFormatPr defaultRowHeight="15" x14ac:dyDescent="0.25"/>
  <cols>
    <col min="1" max="1" width="43.85546875" customWidth="1"/>
    <col min="2" max="2" width="39.5703125" customWidth="1"/>
  </cols>
  <sheetData>
    <row r="1" spans="1:2" ht="18" x14ac:dyDescent="0.25">
      <c r="A1" s="269" t="s">
        <v>59</v>
      </c>
      <c r="B1" s="268"/>
    </row>
    <row r="2" spans="1:2" ht="18" x14ac:dyDescent="0.25">
      <c r="A2" s="269" t="s">
        <v>60</v>
      </c>
      <c r="B2" s="268"/>
    </row>
    <row r="3" spans="1:2" x14ac:dyDescent="0.25">
      <c r="A3" s="270" t="s">
        <v>260</v>
      </c>
      <c r="B3" s="268"/>
    </row>
    <row r="5" spans="1:2" x14ac:dyDescent="0.25">
      <c r="A5" s="1"/>
      <c r="B5" s="100" t="s">
        <v>0</v>
      </c>
    </row>
    <row r="6" spans="1:2" x14ac:dyDescent="0.25">
      <c r="A6" s="132" t="s">
        <v>1</v>
      </c>
      <c r="B6" s="133"/>
    </row>
    <row r="7" spans="1:2" x14ac:dyDescent="0.25">
      <c r="A7" s="132" t="s">
        <v>2</v>
      </c>
      <c r="B7" s="133"/>
    </row>
    <row r="8" spans="1:2" x14ac:dyDescent="0.25">
      <c r="A8" s="132" t="s">
        <v>3</v>
      </c>
      <c r="B8" s="133"/>
    </row>
    <row r="9" spans="1:2" x14ac:dyDescent="0.25">
      <c r="A9" s="132" t="s">
        <v>4</v>
      </c>
      <c r="B9" s="134">
        <f>0</f>
        <v>0</v>
      </c>
    </row>
    <row r="10" spans="1:2" x14ac:dyDescent="0.25">
      <c r="A10" s="132" t="s">
        <v>5</v>
      </c>
      <c r="B10" s="134">
        <f>5158.76</f>
        <v>5158.76</v>
      </c>
    </row>
    <row r="11" spans="1:2" x14ac:dyDescent="0.25">
      <c r="A11" s="132" t="s">
        <v>6</v>
      </c>
      <c r="B11" s="134">
        <f>6261.85</f>
        <v>6261.85</v>
      </c>
    </row>
    <row r="12" spans="1:2" x14ac:dyDescent="0.25">
      <c r="A12" s="132" t="s">
        <v>7</v>
      </c>
      <c r="B12" s="134">
        <f>25275.98</f>
        <v>25275.98</v>
      </c>
    </row>
    <row r="13" spans="1:2" x14ac:dyDescent="0.25">
      <c r="A13" s="132" t="s">
        <v>8</v>
      </c>
      <c r="B13" s="134">
        <f>324.82</f>
        <v>324.82</v>
      </c>
    </row>
    <row r="14" spans="1:2" x14ac:dyDescent="0.25">
      <c r="A14" s="132" t="s">
        <v>9</v>
      </c>
      <c r="B14" s="135">
        <f>((((B9)+(B10))+(B11))+(B12))+(B13)</f>
        <v>37021.409999999996</v>
      </c>
    </row>
    <row r="15" spans="1:2" x14ac:dyDescent="0.25">
      <c r="A15" s="132" t="s">
        <v>10</v>
      </c>
      <c r="B15" s="133"/>
    </row>
    <row r="16" spans="1:2" x14ac:dyDescent="0.25">
      <c r="A16" s="132" t="s">
        <v>11</v>
      </c>
      <c r="B16" s="134">
        <f>33333.4</f>
        <v>33333.4</v>
      </c>
    </row>
    <row r="17" spans="1:2" x14ac:dyDescent="0.25">
      <c r="A17" s="132" t="s">
        <v>12</v>
      </c>
      <c r="B17" s="135">
        <f>B16</f>
        <v>33333.4</v>
      </c>
    </row>
    <row r="18" spans="1:2" x14ac:dyDescent="0.25">
      <c r="A18" s="132" t="s">
        <v>13</v>
      </c>
      <c r="B18" s="133"/>
    </row>
    <row r="19" spans="1:2" x14ac:dyDescent="0.25">
      <c r="A19" s="132" t="s">
        <v>14</v>
      </c>
      <c r="B19" s="134">
        <f>0</f>
        <v>0</v>
      </c>
    </row>
    <row r="20" spans="1:2" x14ac:dyDescent="0.25">
      <c r="A20" s="132" t="s">
        <v>15</v>
      </c>
      <c r="B20" s="135">
        <f>B19</f>
        <v>0</v>
      </c>
    </row>
    <row r="21" spans="1:2" x14ac:dyDescent="0.25">
      <c r="A21" s="132" t="s">
        <v>16</v>
      </c>
      <c r="B21" s="135">
        <f>((B14)+(B17))+(B20)</f>
        <v>70354.81</v>
      </c>
    </row>
    <row r="22" spans="1:2" x14ac:dyDescent="0.25">
      <c r="A22" s="132" t="s">
        <v>17</v>
      </c>
      <c r="B22" s="133"/>
    </row>
    <row r="23" spans="1:2" x14ac:dyDescent="0.25">
      <c r="A23" s="132" t="s">
        <v>18</v>
      </c>
      <c r="B23" s="134">
        <f>2328.97</f>
        <v>2328.9699999999998</v>
      </c>
    </row>
    <row r="24" spans="1:2" x14ac:dyDescent="0.25">
      <c r="A24" s="132" t="s">
        <v>19</v>
      </c>
      <c r="B24" s="134">
        <f>-1875.89</f>
        <v>-1875.89</v>
      </c>
    </row>
    <row r="25" spans="1:2" x14ac:dyDescent="0.25">
      <c r="A25" s="132" t="s">
        <v>20</v>
      </c>
      <c r="B25" s="135">
        <f>(B23)+(B24)</f>
        <v>453.0799999999997</v>
      </c>
    </row>
    <row r="26" spans="1:2" x14ac:dyDescent="0.25">
      <c r="A26" s="132" t="s">
        <v>21</v>
      </c>
      <c r="B26" s="135">
        <f>B25</f>
        <v>453.0799999999997</v>
      </c>
    </row>
    <row r="27" spans="1:2" x14ac:dyDescent="0.25">
      <c r="A27" s="132" t="s">
        <v>22</v>
      </c>
      <c r="B27" s="133"/>
    </row>
    <row r="28" spans="1:2" x14ac:dyDescent="0.25">
      <c r="A28" s="132" t="s">
        <v>23</v>
      </c>
      <c r="B28" s="134">
        <f>0</f>
        <v>0</v>
      </c>
    </row>
    <row r="29" spans="1:2" x14ac:dyDescent="0.25">
      <c r="A29" s="132" t="s">
        <v>24</v>
      </c>
      <c r="B29" s="134">
        <f>10144089.64</f>
        <v>10144089.640000001</v>
      </c>
    </row>
    <row r="30" spans="1:2" x14ac:dyDescent="0.25">
      <c r="A30" s="132" t="s">
        <v>25</v>
      </c>
      <c r="B30" s="134">
        <f>4307711.41</f>
        <v>4307711.41</v>
      </c>
    </row>
    <row r="31" spans="1:2" x14ac:dyDescent="0.25">
      <c r="A31" s="132" t="s">
        <v>26</v>
      </c>
      <c r="B31" s="134">
        <f>6767.37</f>
        <v>6767.37</v>
      </c>
    </row>
    <row r="32" spans="1:2" x14ac:dyDescent="0.25">
      <c r="A32" s="132" t="s">
        <v>27</v>
      </c>
      <c r="B32" s="135">
        <f>(((B28)+(B29))+(B30))+(B31)</f>
        <v>14458568.42</v>
      </c>
    </row>
    <row r="33" spans="1:2" x14ac:dyDescent="0.25">
      <c r="A33" s="132" t="s">
        <v>28</v>
      </c>
      <c r="B33" s="134">
        <f>7671</f>
        <v>7671</v>
      </c>
    </row>
    <row r="34" spans="1:2" x14ac:dyDescent="0.25">
      <c r="A34" s="132" t="s">
        <v>29</v>
      </c>
      <c r="B34" s="134">
        <f>1876</f>
        <v>1876</v>
      </c>
    </row>
    <row r="35" spans="1:2" x14ac:dyDescent="0.25">
      <c r="A35" s="132" t="s">
        <v>30</v>
      </c>
      <c r="B35" s="135">
        <f>(B33)+(B34)</f>
        <v>9547</v>
      </c>
    </row>
    <row r="36" spans="1:2" x14ac:dyDescent="0.25">
      <c r="A36" s="132" t="s">
        <v>31</v>
      </c>
      <c r="B36" s="134">
        <f>70214.89</f>
        <v>70214.89</v>
      </c>
    </row>
    <row r="37" spans="1:2" x14ac:dyDescent="0.25">
      <c r="A37" s="132" t="s">
        <v>32</v>
      </c>
      <c r="B37" s="134">
        <f>4399.69</f>
        <v>4399.6899999999996</v>
      </c>
    </row>
    <row r="38" spans="1:2" x14ac:dyDescent="0.25">
      <c r="A38" s="132" t="s">
        <v>33</v>
      </c>
      <c r="B38" s="134">
        <f>0</f>
        <v>0</v>
      </c>
    </row>
    <row r="39" spans="1:2" x14ac:dyDescent="0.25">
      <c r="A39" s="132" t="s">
        <v>34</v>
      </c>
      <c r="B39" s="134">
        <f>0</f>
        <v>0</v>
      </c>
    </row>
    <row r="40" spans="1:2" x14ac:dyDescent="0.25">
      <c r="A40" s="132" t="s">
        <v>35</v>
      </c>
      <c r="B40" s="134">
        <f>0</f>
        <v>0</v>
      </c>
    </row>
    <row r="41" spans="1:2" x14ac:dyDescent="0.25">
      <c r="A41" s="132" t="s">
        <v>36</v>
      </c>
      <c r="B41" s="135">
        <f>((((((B32)+(B35))+(B36))+(B37))+(B38))+(B39))+(B40)</f>
        <v>14542730</v>
      </c>
    </row>
    <row r="42" spans="1:2" x14ac:dyDescent="0.25">
      <c r="A42" s="132" t="s">
        <v>37</v>
      </c>
      <c r="B42" s="135">
        <f>((B21)+(B26))+(B41)</f>
        <v>14613537.890000001</v>
      </c>
    </row>
    <row r="43" spans="1:2" x14ac:dyDescent="0.25">
      <c r="A43" s="132" t="s">
        <v>38</v>
      </c>
      <c r="B43" s="133"/>
    </row>
    <row r="44" spans="1:2" x14ac:dyDescent="0.25">
      <c r="A44" s="132" t="s">
        <v>39</v>
      </c>
      <c r="B44" s="133"/>
    </row>
    <row r="45" spans="1:2" x14ac:dyDescent="0.25">
      <c r="A45" s="132" t="s">
        <v>40</v>
      </c>
      <c r="B45" s="133"/>
    </row>
    <row r="46" spans="1:2" x14ac:dyDescent="0.25">
      <c r="A46" s="132" t="s">
        <v>41</v>
      </c>
      <c r="B46" s="133"/>
    </row>
    <row r="47" spans="1:2" x14ac:dyDescent="0.25">
      <c r="A47" s="132" t="s">
        <v>42</v>
      </c>
      <c r="B47" s="134">
        <f>5090</f>
        <v>5090</v>
      </c>
    </row>
    <row r="48" spans="1:2" x14ac:dyDescent="0.25">
      <c r="A48" s="132" t="s">
        <v>43</v>
      </c>
      <c r="B48" s="135">
        <f>B47</f>
        <v>5090</v>
      </c>
    </row>
    <row r="49" spans="1:2" x14ac:dyDescent="0.25">
      <c r="A49" s="132" t="s">
        <v>44</v>
      </c>
      <c r="B49" s="133"/>
    </row>
    <row r="50" spans="1:2" x14ac:dyDescent="0.25">
      <c r="A50" s="132" t="s">
        <v>45</v>
      </c>
      <c r="B50" s="134">
        <f>0</f>
        <v>0</v>
      </c>
    </row>
    <row r="51" spans="1:2" x14ac:dyDescent="0.25">
      <c r="A51" s="132" t="s">
        <v>46</v>
      </c>
      <c r="B51" s="134">
        <f>23954.95</f>
        <v>23954.95</v>
      </c>
    </row>
    <row r="52" spans="1:2" x14ac:dyDescent="0.25">
      <c r="A52" s="132" t="s">
        <v>47</v>
      </c>
      <c r="B52" s="134">
        <f>4312582.15</f>
        <v>4312582.1500000004</v>
      </c>
    </row>
    <row r="53" spans="1:2" x14ac:dyDescent="0.25">
      <c r="A53" s="132" t="s">
        <v>48</v>
      </c>
      <c r="B53" s="135">
        <f>((B50)+(B51))+(B52)</f>
        <v>4336537.1000000006</v>
      </c>
    </row>
    <row r="54" spans="1:2" x14ac:dyDescent="0.25">
      <c r="A54" s="132" t="s">
        <v>49</v>
      </c>
      <c r="B54" s="135">
        <f>(B48)+(B53)</f>
        <v>4341627.1000000006</v>
      </c>
    </row>
    <row r="55" spans="1:2" x14ac:dyDescent="0.25">
      <c r="A55" s="132" t="s">
        <v>50</v>
      </c>
      <c r="B55" s="135">
        <f>B54</f>
        <v>4341627.1000000006</v>
      </c>
    </row>
    <row r="56" spans="1:2" x14ac:dyDescent="0.25">
      <c r="A56" s="132" t="s">
        <v>51</v>
      </c>
      <c r="B56" s="133"/>
    </row>
    <row r="57" spans="1:2" x14ac:dyDescent="0.25">
      <c r="A57" s="132" t="s">
        <v>52</v>
      </c>
      <c r="B57" s="134">
        <f>3800186.96</f>
        <v>3800186.96</v>
      </c>
    </row>
    <row r="58" spans="1:2" x14ac:dyDescent="0.25">
      <c r="A58" s="132" t="s">
        <v>53</v>
      </c>
      <c r="B58" s="134">
        <f>4629794.91</f>
        <v>4629794.91</v>
      </c>
    </row>
    <row r="59" spans="1:2" x14ac:dyDescent="0.25">
      <c r="A59" s="132" t="s">
        <v>54</v>
      </c>
      <c r="B59" s="134">
        <f>761386.07</f>
        <v>761386.07</v>
      </c>
    </row>
    <row r="60" spans="1:2" x14ac:dyDescent="0.25">
      <c r="A60" s="132" t="s">
        <v>55</v>
      </c>
      <c r="B60" s="134">
        <f>400842.21</f>
        <v>400842.21</v>
      </c>
    </row>
    <row r="61" spans="1:2" x14ac:dyDescent="0.25">
      <c r="A61" s="132" t="s">
        <v>56</v>
      </c>
      <c r="B61" s="134">
        <f>679700.64</f>
        <v>679700.64</v>
      </c>
    </row>
    <row r="62" spans="1:2" x14ac:dyDescent="0.25">
      <c r="A62" s="132" t="s">
        <v>57</v>
      </c>
      <c r="B62" s="135">
        <f>((((B57)+(B58))+(B59))+(B60))+(B61)</f>
        <v>10271910.790000003</v>
      </c>
    </row>
    <row r="63" spans="1:2" x14ac:dyDescent="0.25">
      <c r="A63" s="132" t="s">
        <v>58</v>
      </c>
      <c r="B63" s="135">
        <f>(B55)+(B62)</f>
        <v>14613537.890000004</v>
      </c>
    </row>
    <row r="64" spans="1:2" x14ac:dyDescent="0.25">
      <c r="A64" s="132"/>
      <c r="B64" s="133"/>
    </row>
    <row r="65" spans="1:2" x14ac:dyDescent="0.25">
      <c r="A65" s="271" t="s">
        <v>61</v>
      </c>
      <c r="B65" s="271"/>
    </row>
    <row r="67" spans="1:2" x14ac:dyDescent="0.25">
      <c r="A67" s="267" t="s">
        <v>261</v>
      </c>
      <c r="B67" s="268"/>
    </row>
  </sheetData>
  <mergeCells count="5">
    <mergeCell ref="A67:B67"/>
    <mergeCell ref="A1:B1"/>
    <mergeCell ref="A2:B2"/>
    <mergeCell ref="A3:B3"/>
    <mergeCell ref="A65:B6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E00FF-E07B-49EB-9A1B-8C9CE940CC1D}">
  <dimension ref="A1:K84"/>
  <sheetViews>
    <sheetView topLeftCell="A3" zoomScale="140" zoomScaleNormal="140" workbookViewId="0">
      <pane xSplit="1" ySplit="4" topLeftCell="B7" activePane="bottomRight" state="frozen"/>
      <selection activeCell="A3" sqref="A3"/>
      <selection pane="topRight" activeCell="B3" sqref="B3"/>
      <selection pane="bottomLeft" activeCell="A7" sqref="A7"/>
      <selection pane="bottomRight" activeCell="B7" sqref="B7"/>
    </sheetView>
  </sheetViews>
  <sheetFormatPr defaultRowHeight="15" x14ac:dyDescent="0.25"/>
  <cols>
    <col min="1" max="1" width="40.42578125" customWidth="1"/>
    <col min="2" max="5" width="16.28515625" customWidth="1"/>
    <col min="7" max="7" width="22.5703125" customWidth="1"/>
    <col min="8" max="8" width="13.140625" bestFit="1" customWidth="1"/>
    <col min="9" max="9" width="17.140625" customWidth="1"/>
    <col min="10" max="10" width="12.85546875" customWidth="1"/>
    <col min="11" max="11" width="10.5703125" bestFit="1" customWidth="1"/>
  </cols>
  <sheetData>
    <row r="1" spans="1:8" ht="18" x14ac:dyDescent="0.25">
      <c r="A1" s="269" t="s">
        <v>59</v>
      </c>
      <c r="B1" s="268"/>
      <c r="C1" s="268"/>
      <c r="D1" s="268"/>
      <c r="E1" s="268"/>
    </row>
    <row r="2" spans="1:8" ht="18" x14ac:dyDescent="0.25">
      <c r="A2" s="269" t="s">
        <v>207</v>
      </c>
      <c r="B2" s="268"/>
      <c r="C2" s="268"/>
      <c r="D2" s="268"/>
      <c r="E2" s="268"/>
    </row>
    <row r="3" spans="1:8" x14ac:dyDescent="0.25">
      <c r="A3" s="270" t="s">
        <v>262</v>
      </c>
      <c r="B3" s="268"/>
      <c r="C3" s="268"/>
      <c r="D3" s="268"/>
      <c r="E3" s="268"/>
    </row>
    <row r="5" spans="1:8" x14ac:dyDescent="0.25">
      <c r="A5" s="1"/>
      <c r="B5" s="272" t="s">
        <v>0</v>
      </c>
      <c r="C5" s="273"/>
      <c r="D5" s="273"/>
      <c r="E5" s="273"/>
    </row>
    <row r="6" spans="1:8" ht="57" customHeight="1" x14ac:dyDescent="0.25">
      <c r="A6" s="1"/>
      <c r="B6" s="94" t="s">
        <v>127</v>
      </c>
      <c r="C6" s="94" t="s">
        <v>126</v>
      </c>
      <c r="D6" s="94" t="s">
        <v>125</v>
      </c>
      <c r="E6" s="94" t="s">
        <v>124</v>
      </c>
    </row>
    <row r="7" spans="1:8" x14ac:dyDescent="0.25">
      <c r="A7" s="132" t="s">
        <v>123</v>
      </c>
      <c r="B7" s="133"/>
      <c r="C7" s="133"/>
      <c r="D7" s="133"/>
      <c r="E7" s="133"/>
    </row>
    <row r="8" spans="1:8" x14ac:dyDescent="0.25">
      <c r="A8" s="132" t="s">
        <v>122</v>
      </c>
      <c r="B8" s="133"/>
      <c r="C8" s="133"/>
      <c r="D8" s="134">
        <f t="shared" ref="D8:D17" si="0">(B8)-(C8)</f>
        <v>0</v>
      </c>
      <c r="E8" s="136" t="str">
        <f t="shared" ref="E8:E17" si="1">IF(C8=0,"",(B8)/(C8))</f>
        <v/>
      </c>
    </row>
    <row r="9" spans="1:8" x14ac:dyDescent="0.25">
      <c r="A9" s="132" t="s">
        <v>121</v>
      </c>
      <c r="B9" s="134">
        <f>25128.52</f>
        <v>25128.52</v>
      </c>
      <c r="C9" s="134">
        <f>31000</f>
        <v>31000</v>
      </c>
      <c r="D9" s="134">
        <f t="shared" si="0"/>
        <v>-5871.48</v>
      </c>
      <c r="E9" s="136">
        <f t="shared" si="1"/>
        <v>0.81059741935483876</v>
      </c>
    </row>
    <row r="10" spans="1:8" x14ac:dyDescent="0.25">
      <c r="A10" s="132" t="s">
        <v>120</v>
      </c>
      <c r="B10" s="133"/>
      <c r="C10" s="133"/>
      <c r="D10" s="134">
        <f t="shared" si="0"/>
        <v>0</v>
      </c>
      <c r="E10" s="136" t="str">
        <f t="shared" si="1"/>
        <v/>
      </c>
    </row>
    <row r="11" spans="1:8" x14ac:dyDescent="0.25">
      <c r="A11" s="132" t="s">
        <v>119</v>
      </c>
      <c r="B11" s="134">
        <v>134056.49</v>
      </c>
      <c r="C11" s="134">
        <f>155000</f>
        <v>155000</v>
      </c>
      <c r="D11" s="134">
        <f t="shared" si="0"/>
        <v>-20943.510000000009</v>
      </c>
      <c r="E11" s="136">
        <f t="shared" si="1"/>
        <v>0.86488058064516127</v>
      </c>
    </row>
    <row r="12" spans="1:8" x14ac:dyDescent="0.25">
      <c r="A12" s="132" t="s">
        <v>208</v>
      </c>
      <c r="B12" s="135">
        <f>(B10)+(B11)</f>
        <v>134056.49</v>
      </c>
      <c r="C12" s="135">
        <f>(C10)+(C11)</f>
        <v>155000</v>
      </c>
      <c r="D12" s="135">
        <f t="shared" si="0"/>
        <v>-20943.510000000009</v>
      </c>
      <c r="E12" s="137">
        <f t="shared" si="1"/>
        <v>0.86488058064516127</v>
      </c>
      <c r="H12" s="77"/>
    </row>
    <row r="13" spans="1:8" x14ac:dyDescent="0.25">
      <c r="A13" s="132" t="s">
        <v>209</v>
      </c>
      <c r="B13" s="134">
        <f>33333.4</f>
        <v>33333.4</v>
      </c>
      <c r="C13" s="134">
        <f>40000</f>
        <v>40000</v>
      </c>
      <c r="D13" s="134">
        <f t="shared" si="0"/>
        <v>-6666.5999999999985</v>
      </c>
      <c r="E13" s="136">
        <f t="shared" si="1"/>
        <v>0.83333500000000005</v>
      </c>
    </row>
    <row r="14" spans="1:8" x14ac:dyDescent="0.25">
      <c r="A14" s="132" t="s">
        <v>118</v>
      </c>
      <c r="B14" s="135">
        <f>(((B8)+(B9))+(B12))+(B13)</f>
        <v>192518.40999999997</v>
      </c>
      <c r="C14" s="135">
        <f>(((C8)+(C9))+(C12))+(C13)</f>
        <v>226000</v>
      </c>
      <c r="D14" s="135">
        <f t="shared" si="0"/>
        <v>-33481.590000000026</v>
      </c>
      <c r="E14" s="137">
        <f t="shared" si="1"/>
        <v>0.85185137168141578</v>
      </c>
    </row>
    <row r="15" spans="1:8" x14ac:dyDescent="0.25">
      <c r="A15" s="132" t="s">
        <v>117</v>
      </c>
      <c r="B15" s="134">
        <f>719.89</f>
        <v>719.89</v>
      </c>
      <c r="C15" s="133"/>
      <c r="D15" s="134">
        <f t="shared" si="0"/>
        <v>719.89</v>
      </c>
      <c r="E15" s="136" t="str">
        <f t="shared" si="1"/>
        <v/>
      </c>
    </row>
    <row r="16" spans="1:8" x14ac:dyDescent="0.25">
      <c r="A16" s="132" t="s">
        <v>116</v>
      </c>
      <c r="B16" s="135">
        <f>(B14)+(B15)</f>
        <v>193238.3</v>
      </c>
      <c r="C16" s="135">
        <f>(C14)+(C15)</f>
        <v>226000</v>
      </c>
      <c r="D16" s="135">
        <f t="shared" si="0"/>
        <v>-32761.700000000012</v>
      </c>
      <c r="E16" s="137">
        <f t="shared" si="1"/>
        <v>0.8550367256637168</v>
      </c>
    </row>
    <row r="17" spans="1:9" x14ac:dyDescent="0.25">
      <c r="A17" s="132" t="s">
        <v>115</v>
      </c>
      <c r="B17" s="135">
        <f>(B16)-(0)</f>
        <v>193238.3</v>
      </c>
      <c r="C17" s="135">
        <f>(C16)-(0)</f>
        <v>226000</v>
      </c>
      <c r="D17" s="135">
        <f t="shared" si="0"/>
        <v>-32761.700000000012</v>
      </c>
      <c r="E17" s="137">
        <f t="shared" si="1"/>
        <v>0.8550367256637168</v>
      </c>
      <c r="H17" s="77">
        <f>+D17</f>
        <v>-32761.700000000012</v>
      </c>
      <c r="I17" t="s">
        <v>222</v>
      </c>
    </row>
    <row r="18" spans="1:9" x14ac:dyDescent="0.25">
      <c r="A18" s="132" t="s">
        <v>114</v>
      </c>
      <c r="B18" s="133"/>
      <c r="C18" s="133"/>
      <c r="D18" s="133"/>
      <c r="E18" s="133"/>
    </row>
    <row r="19" spans="1:9" x14ac:dyDescent="0.25">
      <c r="A19" s="132" t="s">
        <v>200</v>
      </c>
      <c r="B19" s="134">
        <f>250</f>
        <v>250</v>
      </c>
      <c r="C19" s="134">
        <f>2500</f>
        <v>2500</v>
      </c>
      <c r="D19" s="134">
        <f t="shared" ref="D19:D61" si="2">(B19)-(C19)</f>
        <v>-2250</v>
      </c>
      <c r="E19" s="136">
        <f t="shared" ref="E19:E61" si="3">IF(C19=0,"",(B19)/(C19))</f>
        <v>0.1</v>
      </c>
    </row>
    <row r="20" spans="1:9" x14ac:dyDescent="0.25">
      <c r="A20" s="132" t="s">
        <v>210</v>
      </c>
      <c r="B20" s="133">
        <v>0</v>
      </c>
      <c r="C20" s="134">
        <f>18000</f>
        <v>18000</v>
      </c>
      <c r="D20" s="134">
        <f t="shared" si="2"/>
        <v>-18000</v>
      </c>
      <c r="E20" s="136">
        <f t="shared" si="3"/>
        <v>0</v>
      </c>
    </row>
    <row r="21" spans="1:9" x14ac:dyDescent="0.25">
      <c r="A21" s="132" t="s">
        <v>113</v>
      </c>
      <c r="B21" s="134">
        <f>572.02</f>
        <v>572.02</v>
      </c>
      <c r="C21" s="134">
        <f>41.7</f>
        <v>41.7</v>
      </c>
      <c r="D21" s="134">
        <f t="shared" si="2"/>
        <v>530.31999999999994</v>
      </c>
      <c r="E21" s="136">
        <f t="shared" si="3"/>
        <v>13.717505995203835</v>
      </c>
    </row>
    <row r="22" spans="1:9" x14ac:dyDescent="0.25">
      <c r="A22" s="132" t="s">
        <v>112</v>
      </c>
      <c r="B22" s="134">
        <f>1000</f>
        <v>1000</v>
      </c>
      <c r="C22" s="134">
        <f>1000</f>
        <v>1000</v>
      </c>
      <c r="D22" s="134">
        <f t="shared" si="2"/>
        <v>0</v>
      </c>
      <c r="E22" s="136">
        <f t="shared" si="3"/>
        <v>1</v>
      </c>
      <c r="F22" t="s">
        <v>229</v>
      </c>
      <c r="G22" s="79">
        <f>SUM(B19:B29)</f>
        <v>34650.69</v>
      </c>
    </row>
    <row r="23" spans="1:9" x14ac:dyDescent="0.25">
      <c r="A23" s="132" t="s">
        <v>111</v>
      </c>
      <c r="B23" s="134">
        <f>183.29</f>
        <v>183.29</v>
      </c>
      <c r="C23" s="134">
        <f>833.3</f>
        <v>833.3</v>
      </c>
      <c r="D23" s="134">
        <f t="shared" si="2"/>
        <v>-650.01</v>
      </c>
      <c r="E23" s="136">
        <f t="shared" si="3"/>
        <v>0.21995679827193088</v>
      </c>
      <c r="F23" t="s">
        <v>230</v>
      </c>
      <c r="G23" s="79">
        <f>SUM(C19:C29)</f>
        <v>58708.399999999994</v>
      </c>
    </row>
    <row r="24" spans="1:9" x14ac:dyDescent="0.25">
      <c r="A24" s="132" t="s">
        <v>110</v>
      </c>
      <c r="B24" s="134">
        <f>818.63</f>
        <v>818.63</v>
      </c>
      <c r="C24" s="133"/>
      <c r="D24" s="134">
        <f t="shared" si="2"/>
        <v>818.63</v>
      </c>
      <c r="E24" s="136" t="str">
        <f t="shared" si="3"/>
        <v/>
      </c>
      <c r="G24" s="76">
        <f>+G23-G22</f>
        <v>24057.709999999992</v>
      </c>
    </row>
    <row r="25" spans="1:9" x14ac:dyDescent="0.25">
      <c r="A25" s="132" t="s">
        <v>109</v>
      </c>
      <c r="B25" s="134">
        <f>826.75</f>
        <v>826.75</v>
      </c>
      <c r="C25" s="134">
        <f>5416.7</f>
        <v>5416.7</v>
      </c>
      <c r="D25" s="134">
        <f t="shared" si="2"/>
        <v>-4589.95</v>
      </c>
      <c r="E25" s="136">
        <f t="shared" si="3"/>
        <v>0.1526298299702771</v>
      </c>
    </row>
    <row r="26" spans="1:9" x14ac:dyDescent="0.25">
      <c r="A26" s="132" t="s">
        <v>108</v>
      </c>
      <c r="B26" s="134">
        <f>30000</f>
        <v>30000</v>
      </c>
      <c r="C26" s="134">
        <f>27500</f>
        <v>27500</v>
      </c>
      <c r="D26" s="134">
        <f t="shared" si="2"/>
        <v>2500</v>
      </c>
      <c r="E26" s="136">
        <f t="shared" si="3"/>
        <v>1.0909090909090908</v>
      </c>
    </row>
    <row r="27" spans="1:9" x14ac:dyDescent="0.25">
      <c r="A27" s="132" t="s">
        <v>107</v>
      </c>
      <c r="B27" s="133"/>
      <c r="C27" s="134">
        <f>41.7</f>
        <v>41.7</v>
      </c>
      <c r="D27" s="134">
        <f t="shared" si="2"/>
        <v>-41.7</v>
      </c>
      <c r="E27" s="136">
        <f t="shared" si="3"/>
        <v>0</v>
      </c>
    </row>
    <row r="28" spans="1:9" x14ac:dyDescent="0.25">
      <c r="A28" s="132" t="s">
        <v>106</v>
      </c>
      <c r="B28" s="134">
        <f>1000</f>
        <v>1000</v>
      </c>
      <c r="C28" s="134">
        <f>2916.7</f>
        <v>2916.7</v>
      </c>
      <c r="D28" s="134">
        <f t="shared" si="2"/>
        <v>-1916.6999999999998</v>
      </c>
      <c r="E28" s="136">
        <f t="shared" si="3"/>
        <v>0.34285322453457678</v>
      </c>
    </row>
    <row r="29" spans="1:9" x14ac:dyDescent="0.25">
      <c r="A29" s="132" t="s">
        <v>105</v>
      </c>
      <c r="B29" s="133"/>
      <c r="C29" s="134">
        <f>458.3</f>
        <v>458.3</v>
      </c>
      <c r="D29" s="134">
        <f t="shared" si="2"/>
        <v>-458.3</v>
      </c>
      <c r="E29" s="136">
        <f t="shared" si="3"/>
        <v>0</v>
      </c>
      <c r="H29" s="79">
        <f>SUM(D19:D29)</f>
        <v>-24057.71</v>
      </c>
      <c r="I29" t="s">
        <v>223</v>
      </c>
    </row>
    <row r="30" spans="1:9" x14ac:dyDescent="0.25">
      <c r="A30" s="132" t="s">
        <v>104</v>
      </c>
      <c r="B30" s="133"/>
      <c r="C30" s="133"/>
      <c r="D30" s="134">
        <f t="shared" si="2"/>
        <v>0</v>
      </c>
      <c r="E30" s="136" t="str">
        <f t="shared" si="3"/>
        <v/>
      </c>
      <c r="F30" t="s">
        <v>229</v>
      </c>
      <c r="G30" s="81">
        <f>SUM(B30:B34)</f>
        <v>123377.58</v>
      </c>
    </row>
    <row r="31" spans="1:9" x14ac:dyDescent="0.25">
      <c r="A31" s="132" t="s">
        <v>103</v>
      </c>
      <c r="B31" s="134">
        <f>2370</f>
        <v>2370</v>
      </c>
      <c r="C31" s="134">
        <f>1058.3</f>
        <v>1058.3</v>
      </c>
      <c r="D31" s="134">
        <f t="shared" si="2"/>
        <v>1311.7</v>
      </c>
      <c r="E31" s="136">
        <f t="shared" si="3"/>
        <v>2.2394406123027499</v>
      </c>
      <c r="F31" t="s">
        <v>230</v>
      </c>
      <c r="G31" s="81">
        <f>SUM(C31:C34)</f>
        <v>132104.1</v>
      </c>
    </row>
    <row r="32" spans="1:9" x14ac:dyDescent="0.25">
      <c r="A32" s="132" t="s">
        <v>102</v>
      </c>
      <c r="B32" s="134">
        <f>108755</f>
        <v>108755</v>
      </c>
      <c r="C32" s="134">
        <f>118375</f>
        <v>118375</v>
      </c>
      <c r="D32" s="134">
        <f t="shared" si="2"/>
        <v>-9620</v>
      </c>
      <c r="E32" s="136">
        <f t="shared" si="3"/>
        <v>0.91873284054910243</v>
      </c>
      <c r="G32" s="81">
        <f>+G30-G31</f>
        <v>-8726.5200000000041</v>
      </c>
    </row>
    <row r="33" spans="1:11" x14ac:dyDescent="0.25">
      <c r="A33" s="132" t="s">
        <v>101</v>
      </c>
      <c r="B33" s="134">
        <f>263</f>
        <v>263</v>
      </c>
      <c r="C33" s="134">
        <f>833.3</f>
        <v>833.3</v>
      </c>
      <c r="D33" s="134">
        <f t="shared" si="2"/>
        <v>-570.29999999999995</v>
      </c>
      <c r="E33" s="136">
        <f t="shared" si="3"/>
        <v>0.31561262450498023</v>
      </c>
      <c r="G33" s="81"/>
    </row>
    <row r="34" spans="1:11" x14ac:dyDescent="0.25">
      <c r="A34" s="132" t="s">
        <v>100</v>
      </c>
      <c r="B34" s="134">
        <f>11989.58</f>
        <v>11989.58</v>
      </c>
      <c r="C34" s="134">
        <f>11837.5</f>
        <v>11837.5</v>
      </c>
      <c r="D34" s="134">
        <f t="shared" si="2"/>
        <v>152.07999999999993</v>
      </c>
      <c r="E34" s="136">
        <f t="shared" si="3"/>
        <v>1.0128473072861668</v>
      </c>
    </row>
    <row r="35" spans="1:11" x14ac:dyDescent="0.25">
      <c r="A35" s="132" t="s">
        <v>99</v>
      </c>
      <c r="B35" s="135">
        <f>((((B30)+(B31))+(B32))+(B33))+(B34)</f>
        <v>123377.58</v>
      </c>
      <c r="C35" s="135">
        <f>((((C30)+(C31))+(C32))+(C33))+(C34)</f>
        <v>132104.1</v>
      </c>
      <c r="D35" s="135">
        <f t="shared" si="2"/>
        <v>-8726.5200000000041</v>
      </c>
      <c r="E35" s="137">
        <f t="shared" si="3"/>
        <v>0.93394209566546382</v>
      </c>
      <c r="H35" s="77">
        <f>+D35</f>
        <v>-8726.5200000000041</v>
      </c>
      <c r="I35" t="s">
        <v>223</v>
      </c>
      <c r="K35" s="76">
        <f>+H35+H29</f>
        <v>-32784.230000000003</v>
      </c>
    </row>
    <row r="36" spans="1:11" x14ac:dyDescent="0.25">
      <c r="A36" s="132" t="s">
        <v>98</v>
      </c>
      <c r="B36" s="133"/>
      <c r="C36" s="133"/>
      <c r="D36" s="134">
        <f t="shared" si="2"/>
        <v>0</v>
      </c>
      <c r="E36" s="136" t="str">
        <f t="shared" si="3"/>
        <v/>
      </c>
    </row>
    <row r="37" spans="1:11" x14ac:dyDescent="0.25">
      <c r="A37" s="132" t="s">
        <v>97</v>
      </c>
      <c r="B37" s="134">
        <f>22000</f>
        <v>22000</v>
      </c>
      <c r="C37" s="134">
        <f>22000</f>
        <v>22000</v>
      </c>
      <c r="D37" s="134">
        <f t="shared" si="2"/>
        <v>0</v>
      </c>
      <c r="E37" s="136">
        <f t="shared" si="3"/>
        <v>1</v>
      </c>
    </row>
    <row r="38" spans="1:11" x14ac:dyDescent="0.25">
      <c r="A38" s="132" t="s">
        <v>96</v>
      </c>
      <c r="B38" s="134">
        <f>10055</f>
        <v>10055</v>
      </c>
      <c r="C38" s="134">
        <f>9500</f>
        <v>9500</v>
      </c>
      <c r="D38" s="134">
        <f t="shared" si="2"/>
        <v>555</v>
      </c>
      <c r="E38" s="136">
        <f t="shared" si="3"/>
        <v>1.0584210526315789</v>
      </c>
    </row>
    <row r="39" spans="1:11" x14ac:dyDescent="0.25">
      <c r="A39" s="132" t="s">
        <v>95</v>
      </c>
      <c r="B39" s="133"/>
      <c r="C39" s="134">
        <f>833.3</f>
        <v>833.3</v>
      </c>
      <c r="D39" s="134">
        <f t="shared" si="2"/>
        <v>-833.3</v>
      </c>
      <c r="E39" s="136">
        <f t="shared" si="3"/>
        <v>0</v>
      </c>
    </row>
    <row r="40" spans="1:11" x14ac:dyDescent="0.25">
      <c r="A40" s="132" t="s">
        <v>94</v>
      </c>
      <c r="B40" s="135">
        <f>(((B36)+(B37))+(B38))+(B39)</f>
        <v>32055</v>
      </c>
      <c r="C40" s="135">
        <f>(((C36)+(C37))+(C38))+(C39)</f>
        <v>32333.3</v>
      </c>
      <c r="D40" s="135">
        <f t="shared" si="2"/>
        <v>-278.29999999999927</v>
      </c>
      <c r="E40" s="137">
        <f t="shared" si="3"/>
        <v>0.99139277463172648</v>
      </c>
      <c r="H40" s="77">
        <f>+D40</f>
        <v>-278.29999999999927</v>
      </c>
      <c r="I40" t="s">
        <v>223</v>
      </c>
    </row>
    <row r="41" spans="1:11" x14ac:dyDescent="0.25">
      <c r="A41" s="132" t="s">
        <v>93</v>
      </c>
      <c r="B41" s="133"/>
      <c r="C41" s="133"/>
      <c r="D41" s="134">
        <f t="shared" si="2"/>
        <v>0</v>
      </c>
      <c r="E41" s="136" t="str">
        <f t="shared" si="3"/>
        <v/>
      </c>
    </row>
    <row r="42" spans="1:11" x14ac:dyDescent="0.25">
      <c r="A42" s="132" t="s">
        <v>92</v>
      </c>
      <c r="B42" s="134">
        <f>0</f>
        <v>0</v>
      </c>
      <c r="C42" s="133"/>
      <c r="D42" s="134">
        <f t="shared" si="2"/>
        <v>0</v>
      </c>
      <c r="E42" s="136" t="str">
        <f t="shared" si="3"/>
        <v/>
      </c>
    </row>
    <row r="43" spans="1:11" x14ac:dyDescent="0.25">
      <c r="A43" s="132" t="s">
        <v>91</v>
      </c>
      <c r="B43" s="134">
        <f>8603.38</f>
        <v>8603.3799999999992</v>
      </c>
      <c r="C43" s="134">
        <f>6500</f>
        <v>6500</v>
      </c>
      <c r="D43" s="134">
        <f t="shared" si="2"/>
        <v>2103.3799999999992</v>
      </c>
      <c r="E43" s="136">
        <f t="shared" si="3"/>
        <v>1.3235969230769229</v>
      </c>
    </row>
    <row r="44" spans="1:11" x14ac:dyDescent="0.25">
      <c r="A44" s="132" t="s">
        <v>90</v>
      </c>
      <c r="B44" s="135">
        <f>((B41)+(B42))+(B43)</f>
        <v>8603.3799999999992</v>
      </c>
      <c r="C44" s="135">
        <f>((C41)+(C42))+(C43)</f>
        <v>6500</v>
      </c>
      <c r="D44" s="135">
        <f t="shared" si="2"/>
        <v>2103.3799999999992</v>
      </c>
      <c r="E44" s="137">
        <f t="shared" si="3"/>
        <v>1.3235969230769229</v>
      </c>
      <c r="H44" s="77">
        <f>+D44</f>
        <v>2103.3799999999992</v>
      </c>
      <c r="I44" t="s">
        <v>224</v>
      </c>
    </row>
    <row r="45" spans="1:11" x14ac:dyDescent="0.25">
      <c r="A45" s="132" t="s">
        <v>89</v>
      </c>
      <c r="B45" s="134">
        <f>445.52</f>
        <v>445.52</v>
      </c>
      <c r="C45" s="133"/>
      <c r="D45" s="134">
        <f t="shared" si="2"/>
        <v>445.52</v>
      </c>
      <c r="E45" s="136" t="str">
        <f t="shared" si="3"/>
        <v/>
      </c>
    </row>
    <row r="46" spans="1:11" x14ac:dyDescent="0.25">
      <c r="A46" s="132" t="s">
        <v>88</v>
      </c>
      <c r="B46" s="134">
        <f>2149.4</f>
        <v>2149.4</v>
      </c>
      <c r="C46" s="134">
        <f>1400</f>
        <v>1400</v>
      </c>
      <c r="D46" s="134">
        <f t="shared" si="2"/>
        <v>749.40000000000009</v>
      </c>
      <c r="E46" s="136">
        <f t="shared" si="3"/>
        <v>1.5352857142857144</v>
      </c>
    </row>
    <row r="47" spans="1:11" x14ac:dyDescent="0.25">
      <c r="A47" s="132" t="s">
        <v>87</v>
      </c>
      <c r="B47" s="134">
        <f>255.11</f>
        <v>255.11</v>
      </c>
      <c r="C47" s="134">
        <f>416.7</f>
        <v>416.7</v>
      </c>
      <c r="D47" s="134">
        <f t="shared" si="2"/>
        <v>-161.58999999999997</v>
      </c>
      <c r="E47" s="136">
        <f t="shared" si="3"/>
        <v>0.61221502279817619</v>
      </c>
    </row>
    <row r="48" spans="1:11" x14ac:dyDescent="0.25">
      <c r="A48" s="132" t="s">
        <v>86</v>
      </c>
      <c r="B48" s="134">
        <f>967.51</f>
        <v>967.51</v>
      </c>
      <c r="C48" s="134">
        <f>83.3</f>
        <v>83.3</v>
      </c>
      <c r="D48" s="134">
        <f t="shared" si="2"/>
        <v>884.21</v>
      </c>
      <c r="E48" s="136">
        <f t="shared" si="3"/>
        <v>11.614765906362546</v>
      </c>
    </row>
    <row r="49" spans="1:11" x14ac:dyDescent="0.25">
      <c r="A49" s="132" t="s">
        <v>85</v>
      </c>
      <c r="B49" s="134">
        <f>1406.57</f>
        <v>1406.57</v>
      </c>
      <c r="C49" s="134">
        <f>1666.7</f>
        <v>1666.7</v>
      </c>
      <c r="D49" s="134">
        <f t="shared" si="2"/>
        <v>-260.13000000000011</v>
      </c>
      <c r="E49" s="136">
        <f t="shared" si="3"/>
        <v>0.84392512149757004</v>
      </c>
    </row>
    <row r="50" spans="1:11" x14ac:dyDescent="0.25">
      <c r="A50" s="132" t="s">
        <v>84</v>
      </c>
      <c r="B50" s="134">
        <f>140</f>
        <v>140</v>
      </c>
      <c r="C50" s="134">
        <f>150</f>
        <v>150</v>
      </c>
      <c r="D50" s="134">
        <f t="shared" si="2"/>
        <v>-10</v>
      </c>
      <c r="E50" s="136">
        <f t="shared" si="3"/>
        <v>0.93333333333333335</v>
      </c>
    </row>
    <row r="51" spans="1:11" x14ac:dyDescent="0.25">
      <c r="A51" s="132" t="s">
        <v>83</v>
      </c>
      <c r="B51" s="134">
        <f>2011.57</f>
        <v>2011.57</v>
      </c>
      <c r="C51" s="134">
        <f>450</f>
        <v>450</v>
      </c>
      <c r="D51" s="134">
        <f t="shared" si="2"/>
        <v>1561.57</v>
      </c>
      <c r="E51" s="136">
        <f t="shared" si="3"/>
        <v>4.4701555555555554</v>
      </c>
    </row>
    <row r="52" spans="1:11" x14ac:dyDescent="0.25">
      <c r="A52" s="132" t="s">
        <v>82</v>
      </c>
      <c r="B52" s="135">
        <f>((((((B45)+(B46))+(B47))+(B48))+(B49))+(B50))+(B51)</f>
        <v>7375.6799999999994</v>
      </c>
      <c r="C52" s="135">
        <f>((((((C45)+(C46))+(C47))+(C48))+(C49))+(C50))+(C51)</f>
        <v>4166.7</v>
      </c>
      <c r="D52" s="135">
        <f t="shared" si="2"/>
        <v>3208.9799999999996</v>
      </c>
      <c r="E52" s="137">
        <f t="shared" si="3"/>
        <v>1.7701490388076895</v>
      </c>
      <c r="H52" s="77">
        <f>+D52</f>
        <v>3208.9799999999996</v>
      </c>
      <c r="I52" t="s">
        <v>224</v>
      </c>
    </row>
    <row r="53" spans="1:11" x14ac:dyDescent="0.25">
      <c r="A53" s="132" t="s">
        <v>81</v>
      </c>
      <c r="B53" s="134">
        <f>55.2</f>
        <v>55.2</v>
      </c>
      <c r="C53" s="133"/>
      <c r="D53" s="134">
        <f t="shared" si="2"/>
        <v>55.2</v>
      </c>
      <c r="E53" s="136" t="str">
        <f t="shared" si="3"/>
        <v/>
      </c>
    </row>
    <row r="54" spans="1:11" x14ac:dyDescent="0.25">
      <c r="A54" s="132" t="s">
        <v>211</v>
      </c>
      <c r="B54" s="134">
        <f>275.15</f>
        <v>275.14999999999998</v>
      </c>
      <c r="C54" s="134">
        <f>416.7</f>
        <v>416.7</v>
      </c>
      <c r="D54" s="134">
        <f t="shared" si="2"/>
        <v>-141.55000000000001</v>
      </c>
      <c r="E54" s="136">
        <f t="shared" si="3"/>
        <v>0.66030717542596584</v>
      </c>
    </row>
    <row r="55" spans="1:11" x14ac:dyDescent="0.25">
      <c r="A55" s="132" t="s">
        <v>80</v>
      </c>
      <c r="B55" s="134">
        <f>2500</f>
        <v>2500</v>
      </c>
      <c r="C55" s="134">
        <f>2916.7</f>
        <v>2916.7</v>
      </c>
      <c r="D55" s="134">
        <f t="shared" si="2"/>
        <v>-416.69999999999982</v>
      </c>
      <c r="E55" s="136">
        <f t="shared" si="3"/>
        <v>0.85713306133644196</v>
      </c>
    </row>
    <row r="56" spans="1:11" x14ac:dyDescent="0.25">
      <c r="A56" s="132" t="s">
        <v>79</v>
      </c>
      <c r="B56" s="133"/>
      <c r="C56" s="134">
        <f>125</f>
        <v>125</v>
      </c>
      <c r="D56" s="134">
        <f t="shared" si="2"/>
        <v>-125</v>
      </c>
      <c r="E56" s="136">
        <f t="shared" si="3"/>
        <v>0</v>
      </c>
    </row>
    <row r="57" spans="1:11" x14ac:dyDescent="0.25">
      <c r="A57" s="132" t="s">
        <v>78</v>
      </c>
      <c r="B57" s="133"/>
      <c r="C57" s="134">
        <f>125</f>
        <v>125</v>
      </c>
      <c r="D57" s="134">
        <f t="shared" si="2"/>
        <v>-125</v>
      </c>
      <c r="E57" s="136">
        <f t="shared" si="3"/>
        <v>0</v>
      </c>
    </row>
    <row r="58" spans="1:11" x14ac:dyDescent="0.25">
      <c r="A58" s="132" t="s">
        <v>77</v>
      </c>
      <c r="B58" s="135">
        <f>((((B53)+(B54))+(B55))+(B56))+(B57)</f>
        <v>2830.35</v>
      </c>
      <c r="C58" s="135">
        <f>((((C53)+(C54))+(C55))+(C56))+(C57)</f>
        <v>3583.3999999999996</v>
      </c>
      <c r="D58" s="135">
        <f t="shared" si="2"/>
        <v>-753.04999999999973</v>
      </c>
      <c r="E58" s="137">
        <f t="shared" si="3"/>
        <v>0.78985042138750916</v>
      </c>
      <c r="H58" s="77">
        <f>+D58</f>
        <v>-753.04999999999973</v>
      </c>
      <c r="I58" t="s">
        <v>223</v>
      </c>
      <c r="K58" s="78"/>
    </row>
    <row r="59" spans="1:11" x14ac:dyDescent="0.25">
      <c r="A59" s="132" t="s">
        <v>212</v>
      </c>
      <c r="B59" s="134">
        <f>9250</f>
        <v>9250</v>
      </c>
      <c r="C59" s="133"/>
      <c r="D59" s="134">
        <f t="shared" si="2"/>
        <v>9250</v>
      </c>
      <c r="E59" s="136" t="str">
        <f t="shared" si="3"/>
        <v/>
      </c>
      <c r="H59" s="99">
        <f>+D59</f>
        <v>9250</v>
      </c>
      <c r="I59" t="s">
        <v>224</v>
      </c>
      <c r="K59" s="76"/>
    </row>
    <row r="60" spans="1:11" x14ac:dyDescent="0.25">
      <c r="A60" s="132" t="s">
        <v>76</v>
      </c>
      <c r="B60" s="135">
        <f>((((((((((((((((B19)+(B20))+(B21))+(B22))+(B23))+(B24))+(B25))+(B26))+(B27))+(B28))+(B29))+(B35))+(B40))+(B44))+(B52))+(B58))+(B59)</f>
        <v>218142.68000000002</v>
      </c>
      <c r="C60" s="135">
        <f>((((((((((((((((C19)+(C20))+(C21))+(C22))+(C23))+(C24))+(C25))+(C26))+(C27))+(C28))+(C29))+(C35))+(C40))+(C44))+(C52))+(C58))+(C59)</f>
        <v>237395.9</v>
      </c>
      <c r="D60" s="135">
        <f t="shared" si="2"/>
        <v>-19253.219999999972</v>
      </c>
      <c r="E60" s="137">
        <f t="shared" si="3"/>
        <v>0.91889826235415195</v>
      </c>
      <c r="H60" s="95">
        <f>+D60</f>
        <v>-19253.219999999972</v>
      </c>
    </row>
    <row r="61" spans="1:11" x14ac:dyDescent="0.25">
      <c r="A61" s="132" t="s">
        <v>75</v>
      </c>
      <c r="B61" s="151">
        <f>(B17)-(B60)</f>
        <v>-24904.380000000034</v>
      </c>
      <c r="C61" s="135">
        <f>(C17)-(C60)</f>
        <v>-11395.899999999994</v>
      </c>
      <c r="D61" s="135">
        <f t="shared" si="2"/>
        <v>-13508.48000000004</v>
      </c>
      <c r="E61" s="137">
        <f t="shared" si="3"/>
        <v>2.185380707096416</v>
      </c>
      <c r="H61" s="77">
        <f>+H17-H60</f>
        <v>-13508.48000000004</v>
      </c>
    </row>
    <row r="62" spans="1:11" x14ac:dyDescent="0.25">
      <c r="A62" s="132" t="s">
        <v>74</v>
      </c>
      <c r="B62" s="133"/>
      <c r="C62" s="133"/>
      <c r="D62" s="133"/>
      <c r="E62" s="133"/>
      <c r="H62" s="95"/>
    </row>
    <row r="63" spans="1:11" ht="15.75" thickBot="1" x14ac:dyDescent="0.3">
      <c r="A63" s="132" t="s">
        <v>73</v>
      </c>
      <c r="B63" s="134">
        <f>1257755.8</f>
        <v>1257755.8</v>
      </c>
      <c r="C63" s="133"/>
      <c r="D63" s="134">
        <f t="shared" ref="D63:D70" si="4">(B63)-(C63)</f>
        <v>1257755.8</v>
      </c>
      <c r="E63" s="136" t="str">
        <f t="shared" ref="E63:E70" si="5">IF(C63=0,"",(B63)/(C63))</f>
        <v/>
      </c>
      <c r="H63" s="96">
        <f>+H61+H62</f>
        <v>-13508.48000000004</v>
      </c>
    </row>
    <row r="64" spans="1:11" ht="15.75" thickTop="1" x14ac:dyDescent="0.25">
      <c r="A64" s="132" t="s">
        <v>72</v>
      </c>
      <c r="B64" s="133"/>
      <c r="C64" s="133"/>
      <c r="D64" s="134">
        <f t="shared" si="4"/>
        <v>0</v>
      </c>
      <c r="E64" s="136" t="str">
        <f t="shared" si="5"/>
        <v/>
      </c>
    </row>
    <row r="65" spans="1:8" x14ac:dyDescent="0.25">
      <c r="A65" s="132" t="s">
        <v>71</v>
      </c>
      <c r="B65" s="134">
        <f>179129.1</f>
        <v>179129.1</v>
      </c>
      <c r="C65" s="133"/>
      <c r="D65" s="134">
        <f t="shared" si="4"/>
        <v>179129.1</v>
      </c>
      <c r="E65" s="136" t="str">
        <f t="shared" si="5"/>
        <v/>
      </c>
      <c r="G65" s="97" t="s">
        <v>226</v>
      </c>
      <c r="H65" s="77">
        <f>+H17</f>
        <v>-32761.700000000012</v>
      </c>
    </row>
    <row r="66" spans="1:8" x14ac:dyDescent="0.25">
      <c r="A66" s="132" t="s">
        <v>188</v>
      </c>
      <c r="B66" s="134">
        <f>32899.37</f>
        <v>32899.370000000003</v>
      </c>
      <c r="C66" s="133"/>
      <c r="D66" s="134">
        <f t="shared" si="4"/>
        <v>32899.370000000003</v>
      </c>
      <c r="E66" s="136" t="str">
        <f t="shared" si="5"/>
        <v/>
      </c>
      <c r="G66" s="97" t="s">
        <v>227</v>
      </c>
      <c r="H66" s="78">
        <f>SUM(H23:H59)</f>
        <v>-19253.22</v>
      </c>
    </row>
    <row r="67" spans="1:8" ht="15.75" thickBot="1" x14ac:dyDescent="0.3">
      <c r="A67" s="132" t="s">
        <v>70</v>
      </c>
      <c r="B67" s="134">
        <f>545468.42</f>
        <v>545468.42000000004</v>
      </c>
      <c r="C67" s="133"/>
      <c r="D67" s="134">
        <f t="shared" si="4"/>
        <v>545468.42000000004</v>
      </c>
      <c r="E67" s="136" t="str">
        <f t="shared" si="5"/>
        <v/>
      </c>
      <c r="H67" s="96">
        <f>+H65-H66</f>
        <v>-13508.48000000001</v>
      </c>
    </row>
    <row r="68" spans="1:8" ht="15.75" thickTop="1" x14ac:dyDescent="0.25">
      <c r="A68" s="132" t="s">
        <v>69</v>
      </c>
      <c r="B68" s="134">
        <f>-46963.83</f>
        <v>-46963.83</v>
      </c>
      <c r="C68" s="133"/>
      <c r="D68" s="134">
        <f t="shared" si="4"/>
        <v>-46963.83</v>
      </c>
      <c r="E68" s="136" t="str">
        <f t="shared" si="5"/>
        <v/>
      </c>
    </row>
    <row r="69" spans="1:8" x14ac:dyDescent="0.25">
      <c r="A69" s="132" t="s">
        <v>68</v>
      </c>
      <c r="B69" s="135">
        <f>((((B64)+(B65))+(B66))+(B67))+(B68)</f>
        <v>710533.06</v>
      </c>
      <c r="C69" s="135">
        <f>((((C64)+(C65))+(C66))+(C67))+(C68)</f>
        <v>0</v>
      </c>
      <c r="D69" s="135">
        <f t="shared" si="4"/>
        <v>710533.06</v>
      </c>
      <c r="E69" s="137" t="str">
        <f t="shared" si="5"/>
        <v/>
      </c>
    </row>
    <row r="70" spans="1:8" x14ac:dyDescent="0.25">
      <c r="A70" s="132" t="s">
        <v>67</v>
      </c>
      <c r="B70" s="135">
        <f>(B63)+(B69)</f>
        <v>1968288.86</v>
      </c>
      <c r="C70" s="135">
        <f>(C63)+(C69)</f>
        <v>0</v>
      </c>
      <c r="D70" s="135">
        <f t="shared" si="4"/>
        <v>1968288.86</v>
      </c>
      <c r="E70" s="137" t="str">
        <f t="shared" si="5"/>
        <v/>
      </c>
    </row>
    <row r="71" spans="1:8" x14ac:dyDescent="0.25">
      <c r="A71" s="132" t="s">
        <v>66</v>
      </c>
      <c r="B71" s="133"/>
      <c r="C71" s="133"/>
      <c r="D71" s="133"/>
      <c r="E71" s="133"/>
    </row>
    <row r="72" spans="1:8" x14ac:dyDescent="0.25">
      <c r="A72" s="132" t="s">
        <v>65</v>
      </c>
      <c r="B72" s="134">
        <f>1227300.38</f>
        <v>1227300.3799999999</v>
      </c>
      <c r="C72" s="133"/>
      <c r="D72" s="134">
        <f>(B72)-(C72)</f>
        <v>1227300.3799999999</v>
      </c>
      <c r="E72" s="136" t="str">
        <f>IF(C72=0,"",(B72)/(C72))</f>
        <v/>
      </c>
    </row>
    <row r="73" spans="1:8" x14ac:dyDescent="0.25">
      <c r="A73" s="132" t="s">
        <v>64</v>
      </c>
      <c r="B73" s="135">
        <f>B72</f>
        <v>1227300.3799999999</v>
      </c>
      <c r="C73" s="135">
        <f>C72</f>
        <v>0</v>
      </c>
      <c r="D73" s="135">
        <f>(B73)-(C73)</f>
        <v>1227300.3799999999</v>
      </c>
      <c r="E73" s="137" t="str">
        <f>IF(C73=0,"",(B73)/(C73))</f>
        <v/>
      </c>
    </row>
    <row r="74" spans="1:8" x14ac:dyDescent="0.25">
      <c r="A74" s="132" t="s">
        <v>63</v>
      </c>
      <c r="B74" s="135">
        <f>(B70)-(B73)</f>
        <v>740988.48000000021</v>
      </c>
      <c r="C74" s="135">
        <f>(C70)-(C73)</f>
        <v>0</v>
      </c>
      <c r="D74" s="135">
        <f>(B74)-(C74)</f>
        <v>740988.48000000021</v>
      </c>
      <c r="E74" s="137" t="str">
        <f>IF(C74=0,"",(B74)/(C74))</f>
        <v/>
      </c>
    </row>
    <row r="75" spans="1:8" x14ac:dyDescent="0.25">
      <c r="A75" s="132" t="s">
        <v>62</v>
      </c>
      <c r="B75" s="135">
        <f>(B61)+(B74)</f>
        <v>716084.10000000021</v>
      </c>
      <c r="C75" s="135">
        <f>(C61)+(C74)</f>
        <v>-11395.899999999994</v>
      </c>
      <c r="D75" s="135">
        <f>(B75)-(C75)</f>
        <v>727480.00000000023</v>
      </c>
      <c r="E75" s="137">
        <f>IF(C75=0,"",(B75)/(C75))</f>
        <v>-62.836994006616465</v>
      </c>
    </row>
    <row r="76" spans="1:8" x14ac:dyDescent="0.25">
      <c r="A76" s="132"/>
      <c r="B76" s="133"/>
      <c r="C76" s="133"/>
      <c r="D76" s="133"/>
      <c r="E76" s="133"/>
    </row>
    <row r="77" spans="1:8" x14ac:dyDescent="0.25">
      <c r="A77" s="271" t="s">
        <v>61</v>
      </c>
      <c r="B77" s="271"/>
      <c r="C77" s="271"/>
      <c r="D77" s="271"/>
      <c r="E77" s="271"/>
    </row>
    <row r="79" spans="1:8" x14ac:dyDescent="0.25">
      <c r="A79" s="267" t="s">
        <v>263</v>
      </c>
      <c r="B79" s="268"/>
      <c r="C79" s="268"/>
      <c r="D79" s="268"/>
      <c r="E79" s="268"/>
    </row>
    <row r="81" spans="1:5" x14ac:dyDescent="0.25">
      <c r="A81" s="3"/>
      <c r="B81" s="2"/>
      <c r="C81" s="2"/>
      <c r="D81" s="2"/>
      <c r="E81" s="2"/>
    </row>
    <row r="82" spans="1:5" x14ac:dyDescent="0.25">
      <c r="A82" s="3"/>
      <c r="B82" s="2"/>
      <c r="C82" s="2"/>
      <c r="D82" s="2"/>
      <c r="E82" s="2"/>
    </row>
    <row r="83" spans="1:5" x14ac:dyDescent="0.25">
      <c r="A83" s="3"/>
      <c r="B83" s="2"/>
      <c r="C83" s="2"/>
      <c r="D83" s="2"/>
      <c r="E83" s="2"/>
    </row>
    <row r="84" spans="1:5" x14ac:dyDescent="0.25">
      <c r="C84" s="82"/>
      <c r="D84" s="82"/>
    </row>
  </sheetData>
  <mergeCells count="6">
    <mergeCell ref="A1:E1"/>
    <mergeCell ref="A2:E2"/>
    <mergeCell ref="A3:E3"/>
    <mergeCell ref="A77:E77"/>
    <mergeCell ref="A79:E79"/>
    <mergeCell ref="B5:E5"/>
  </mergeCells>
  <pageMargins left="0.7" right="0.7" top="0.75" bottom="0.75" header="0.3" footer="0.3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FD6EE-8833-489A-9481-C359AF2859AE}">
  <dimension ref="A1:AS247"/>
  <sheetViews>
    <sheetView showGridLines="0" tabSelected="1" zoomScale="110" zoomScaleNormal="110" workbookViewId="0">
      <pane xSplit="11" ySplit="7" topLeftCell="L8" activePane="bottomRight" state="frozen"/>
      <selection pane="topRight" activeCell="L1" sqref="L1"/>
      <selection pane="bottomLeft" activeCell="A8" sqref="A8"/>
      <selection pane="bottomRight" activeCell="L8" sqref="L8"/>
    </sheetView>
  </sheetViews>
  <sheetFormatPr defaultRowHeight="15" x14ac:dyDescent="0.25"/>
  <cols>
    <col min="1" max="1" width="22.140625" customWidth="1"/>
    <col min="2" max="2" width="32.85546875" customWidth="1"/>
    <col min="3" max="3" width="11.140625" hidden="1" customWidth="1"/>
    <col min="4" max="4" width="12" hidden="1" customWidth="1"/>
    <col min="5" max="5" width="11.140625" hidden="1" customWidth="1"/>
    <col min="6" max="7" width="10.28515625" hidden="1" customWidth="1"/>
    <col min="8" max="8" width="8.5703125" hidden="1" customWidth="1"/>
    <col min="9" max="11" width="11.140625" hidden="1" customWidth="1"/>
    <col min="12" max="12" width="12" customWidth="1"/>
    <col min="13" max="13" width="13.85546875" style="138" hidden="1" customWidth="1"/>
    <col min="14" max="16" width="13.5703125" hidden="1" customWidth="1"/>
    <col min="17" max="17" width="14.7109375" hidden="1" customWidth="1"/>
    <col min="18" max="18" width="13.28515625" style="140" hidden="1" customWidth="1"/>
    <col min="19" max="19" width="9.5703125" hidden="1" customWidth="1"/>
    <col min="20" max="20" width="10" hidden="1" customWidth="1"/>
    <col min="21" max="21" width="10.5703125" hidden="1" customWidth="1"/>
    <col min="22" max="22" width="10.7109375" hidden="1" customWidth="1"/>
    <col min="23" max="23" width="10.7109375" customWidth="1"/>
    <col min="24" max="24" width="11" customWidth="1"/>
    <col min="25" max="25" width="11.28515625" hidden="1" customWidth="1"/>
    <col min="26" max="26" width="2.5703125" hidden="1" customWidth="1"/>
    <col min="27" max="27" width="13.28515625" customWidth="1"/>
    <col min="28" max="28" width="10.5703125" bestFit="1" customWidth="1"/>
    <col min="29" max="29" width="2.5703125" customWidth="1"/>
    <col min="30" max="30" width="11.7109375" hidden="1" customWidth="1"/>
    <col min="31" max="31" width="11.85546875" hidden="1" customWidth="1"/>
    <col min="32" max="32" width="15.28515625" style="117" customWidth="1"/>
    <col min="33" max="33" width="9.5703125" bestFit="1" customWidth="1"/>
    <col min="34" max="34" width="51.7109375" customWidth="1"/>
    <col min="35" max="35" width="15" customWidth="1"/>
    <col min="36" max="36" width="9.5703125" bestFit="1" customWidth="1"/>
    <col min="38" max="38" width="9.5703125" bestFit="1" customWidth="1"/>
    <col min="39" max="39" width="10.5703125" bestFit="1" customWidth="1"/>
    <col min="43" max="43" width="9.5703125" bestFit="1" customWidth="1"/>
    <col min="44" max="44" width="10.5703125" bestFit="1" customWidth="1"/>
  </cols>
  <sheetData>
    <row r="1" spans="1:40" ht="18" x14ac:dyDescent="0.25">
      <c r="B1" s="269" t="s">
        <v>278</v>
      </c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</row>
    <row r="2" spans="1:40" ht="18" x14ac:dyDescent="0.25">
      <c r="B2" s="269" t="s">
        <v>277</v>
      </c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</row>
    <row r="3" spans="1:40" x14ac:dyDescent="0.25">
      <c r="B3" s="270"/>
      <c r="C3" s="268"/>
      <c r="D3" s="268"/>
      <c r="E3" s="268"/>
      <c r="F3" s="268"/>
      <c r="G3" s="268"/>
      <c r="H3" s="268"/>
      <c r="I3" s="268"/>
      <c r="J3" s="268"/>
      <c r="K3" s="268"/>
      <c r="L3" s="268"/>
    </row>
    <row r="4" spans="1:40" x14ac:dyDescent="0.25">
      <c r="M4" t="s">
        <v>238</v>
      </c>
      <c r="N4" s="276" t="s">
        <v>238</v>
      </c>
      <c r="O4" s="276"/>
      <c r="P4" s="276"/>
      <c r="Q4" s="276"/>
      <c r="R4" s="276"/>
      <c r="S4" s="276"/>
      <c r="T4" s="276"/>
      <c r="U4" s="276"/>
      <c r="V4" s="276"/>
      <c r="W4" s="102"/>
    </row>
    <row r="5" spans="1:40" ht="26.25" customHeight="1" thickBot="1" x14ac:dyDescent="0.3">
      <c r="B5" s="259"/>
      <c r="C5" s="94" t="s">
        <v>213</v>
      </c>
      <c r="D5" s="94" t="s">
        <v>214</v>
      </c>
      <c r="E5" s="94" t="s">
        <v>215</v>
      </c>
      <c r="F5" s="94" t="s">
        <v>216</v>
      </c>
      <c r="G5" s="94" t="s">
        <v>217</v>
      </c>
      <c r="H5" s="94" t="s">
        <v>218</v>
      </c>
      <c r="I5" s="94" t="s">
        <v>219</v>
      </c>
      <c r="J5" s="94" t="s">
        <v>220</v>
      </c>
      <c r="K5" s="94" t="s">
        <v>231</v>
      </c>
      <c r="L5" s="274" t="s">
        <v>189</v>
      </c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4"/>
      <c r="Z5" s="274"/>
      <c r="AA5" s="274"/>
      <c r="AB5" s="274"/>
      <c r="AF5" s="175" t="s">
        <v>241</v>
      </c>
    </row>
    <row r="6" spans="1:40" ht="12.75" customHeight="1" x14ac:dyDescent="0.25">
      <c r="B6" s="260"/>
      <c r="C6" s="84"/>
      <c r="D6" s="84"/>
      <c r="E6" s="84"/>
      <c r="F6" s="84"/>
      <c r="G6" s="84"/>
      <c r="H6" s="84"/>
      <c r="I6" s="84"/>
      <c r="J6" s="84"/>
      <c r="K6" s="84"/>
      <c r="L6" s="84"/>
      <c r="M6" s="139"/>
      <c r="N6" s="84"/>
      <c r="O6" s="84"/>
      <c r="P6" s="84"/>
      <c r="Q6" s="108"/>
      <c r="R6" s="141"/>
      <c r="S6" s="84"/>
      <c r="T6" s="84"/>
      <c r="U6" s="84"/>
      <c r="V6" s="84"/>
      <c r="W6" s="84"/>
      <c r="X6" s="262"/>
      <c r="Y6" s="87"/>
      <c r="Z6" s="87"/>
      <c r="AA6" s="262"/>
      <c r="AB6" s="87"/>
      <c r="AF6" s="162"/>
    </row>
    <row r="7" spans="1:40" ht="42.75" customHeight="1" x14ac:dyDescent="0.25">
      <c r="B7" s="261"/>
      <c r="C7" s="84"/>
      <c r="D7" s="84"/>
      <c r="E7" s="84"/>
      <c r="F7" s="84"/>
      <c r="G7" s="84"/>
      <c r="H7" s="84"/>
      <c r="I7" s="84"/>
      <c r="J7" s="84"/>
      <c r="K7" s="84"/>
      <c r="L7" s="94" t="s">
        <v>309</v>
      </c>
      <c r="M7" s="153" t="s">
        <v>239</v>
      </c>
      <c r="N7" s="154" t="s">
        <v>186</v>
      </c>
      <c r="O7" s="154" t="s">
        <v>187</v>
      </c>
      <c r="P7" s="94" t="s">
        <v>240</v>
      </c>
      <c r="Q7" s="155" t="s">
        <v>0</v>
      </c>
      <c r="R7" s="156" t="s">
        <v>239</v>
      </c>
      <c r="S7" s="86" t="s">
        <v>186</v>
      </c>
      <c r="T7" s="86" t="s">
        <v>187</v>
      </c>
      <c r="U7" s="86" t="s">
        <v>240</v>
      </c>
      <c r="V7" s="86" t="s">
        <v>0</v>
      </c>
      <c r="W7" s="94" t="s">
        <v>276</v>
      </c>
      <c r="X7" s="155" t="s">
        <v>308</v>
      </c>
      <c r="Y7" s="130" t="s">
        <v>197</v>
      </c>
      <c r="Z7" s="94" t="s">
        <v>198</v>
      </c>
      <c r="AA7" s="155" t="s">
        <v>274</v>
      </c>
      <c r="AB7" s="94" t="s">
        <v>199</v>
      </c>
      <c r="AC7" s="84"/>
      <c r="AD7" s="118" t="s">
        <v>197</v>
      </c>
      <c r="AE7" s="84" t="s">
        <v>198</v>
      </c>
      <c r="AF7" s="163" t="s">
        <v>251</v>
      </c>
      <c r="AH7" s="94" t="s">
        <v>264</v>
      </c>
      <c r="AN7" t="s">
        <v>285</v>
      </c>
    </row>
    <row r="8" spans="1:40" x14ac:dyDescent="0.25">
      <c r="B8" s="159"/>
      <c r="C8" s="2"/>
      <c r="D8" s="2"/>
      <c r="E8" s="2"/>
      <c r="F8" s="2"/>
      <c r="G8" s="2"/>
      <c r="H8" s="2"/>
      <c r="I8" s="2"/>
      <c r="J8" s="2"/>
      <c r="K8" s="2"/>
      <c r="L8" s="157"/>
      <c r="Q8" s="109"/>
      <c r="X8" s="237"/>
      <c r="AA8" s="237"/>
    </row>
    <row r="9" spans="1:40" hidden="1" x14ac:dyDescent="0.25">
      <c r="B9" s="159" t="s">
        <v>122</v>
      </c>
      <c r="C9" s="89"/>
      <c r="D9" s="89"/>
      <c r="E9" s="89"/>
      <c r="F9" s="89"/>
      <c r="G9" s="89"/>
      <c r="H9" s="89"/>
      <c r="I9" s="89"/>
      <c r="J9" s="89"/>
      <c r="K9" s="90">
        <f t="shared" ref="K9:K14" si="0">(((G9)+(H9))+(I9))+(J9)</f>
        <v>0</v>
      </c>
      <c r="L9" s="158">
        <f t="shared" ref="L9:L14" si="1">((((C9)+(D9))+(E9))+(F9))+(K9)</f>
        <v>0</v>
      </c>
      <c r="M9" s="144"/>
      <c r="N9" s="82"/>
      <c r="O9" s="82"/>
      <c r="P9" s="82">
        <f>SUM(N9:O9)</f>
        <v>0</v>
      </c>
      <c r="Q9" s="145"/>
      <c r="R9" s="146"/>
      <c r="S9" s="82"/>
      <c r="T9" s="82"/>
      <c r="U9" s="82"/>
      <c r="V9" s="82"/>
      <c r="W9" s="82"/>
      <c r="X9" s="145"/>
      <c r="Y9" s="82"/>
      <c r="Z9" s="82"/>
      <c r="AA9" s="145"/>
      <c r="AB9" s="82"/>
      <c r="AC9" s="82"/>
      <c r="AD9" s="82"/>
      <c r="AE9" s="82"/>
      <c r="AF9" s="164"/>
    </row>
    <row r="10" spans="1:40" x14ac:dyDescent="0.25">
      <c r="B10" s="159" t="s">
        <v>267</v>
      </c>
      <c r="C10" s="89"/>
      <c r="D10" s="89"/>
      <c r="E10" s="89"/>
      <c r="F10" s="89"/>
      <c r="G10" s="90">
        <f>24588.52</f>
        <v>24588.52</v>
      </c>
      <c r="H10" s="90">
        <f>540</f>
        <v>540</v>
      </c>
      <c r="I10" s="89"/>
      <c r="J10" s="89"/>
      <c r="K10" s="90">
        <f t="shared" si="0"/>
        <v>25128.52</v>
      </c>
      <c r="L10" s="176">
        <f t="shared" si="1"/>
        <v>25128.52</v>
      </c>
      <c r="M10" s="177"/>
      <c r="N10" s="178"/>
      <c r="O10" s="178"/>
      <c r="P10" s="178">
        <f>SUM(N10:O10)</f>
        <v>0</v>
      </c>
      <c r="Q10" s="179"/>
      <c r="R10" s="180">
        <v>1000</v>
      </c>
      <c r="S10" s="178">
        <v>2500</v>
      </c>
      <c r="T10" s="178">
        <v>1500</v>
      </c>
      <c r="U10" s="178">
        <f>SUM(S10:T10)</f>
        <v>4000</v>
      </c>
      <c r="V10" s="178">
        <f>+U10+K10</f>
        <v>29128.52</v>
      </c>
      <c r="W10" s="178">
        <f>+U10+P10</f>
        <v>4000</v>
      </c>
      <c r="X10" s="238">
        <f>+V10+Q10</f>
        <v>29128.52</v>
      </c>
      <c r="Y10" s="181">
        <v>32000</v>
      </c>
      <c r="Z10" s="181"/>
      <c r="AA10" s="238">
        <f>+Y10+Z10</f>
        <v>32000</v>
      </c>
      <c r="AB10" s="178">
        <f>+X10-AA10</f>
        <v>-2871.4799999999996</v>
      </c>
      <c r="AC10" s="178"/>
      <c r="AD10" s="178">
        <v>30000</v>
      </c>
      <c r="AE10" s="178"/>
      <c r="AF10" s="182">
        <f>+AD10+AE10</f>
        <v>30000</v>
      </c>
      <c r="AH10" t="s">
        <v>279</v>
      </c>
    </row>
    <row r="11" spans="1:40" hidden="1" x14ac:dyDescent="0.25">
      <c r="B11" s="159" t="s">
        <v>120</v>
      </c>
      <c r="C11" s="89"/>
      <c r="D11" s="89"/>
      <c r="E11" s="89"/>
      <c r="F11" s="89"/>
      <c r="G11" s="89"/>
      <c r="H11" s="89"/>
      <c r="I11" s="89"/>
      <c r="J11" s="89"/>
      <c r="K11" s="90">
        <f t="shared" si="0"/>
        <v>0</v>
      </c>
      <c r="L11" s="176">
        <f t="shared" si="1"/>
        <v>0</v>
      </c>
      <c r="M11" s="177"/>
      <c r="N11" s="178"/>
      <c r="O11" s="178"/>
      <c r="P11" s="178"/>
      <c r="Q11" s="179"/>
      <c r="R11" s="180"/>
      <c r="S11" s="178"/>
      <c r="T11" s="178"/>
      <c r="U11" s="178">
        <f t="shared" ref="U11:U12" si="2">SUM(S11:T11)</f>
        <v>0</v>
      </c>
      <c r="V11" s="178">
        <f t="shared" ref="V11:V12" si="3">+U11+K11</f>
        <v>0</v>
      </c>
      <c r="W11" s="178">
        <f t="shared" ref="W11:W12" si="4">+U11+P11</f>
        <v>0</v>
      </c>
      <c r="X11" s="238">
        <f t="shared" ref="X11:X12" si="5">+V11+Q11</f>
        <v>0</v>
      </c>
      <c r="Y11" s="181"/>
      <c r="Z11" s="181"/>
      <c r="AA11" s="238">
        <f t="shared" ref="AA11:AA12" si="6">+Y11+Z11</f>
        <v>0</v>
      </c>
      <c r="AB11" s="178"/>
      <c r="AC11" s="178"/>
      <c r="AD11" s="178"/>
      <c r="AE11" s="178"/>
      <c r="AF11" s="182"/>
    </row>
    <row r="12" spans="1:40" x14ac:dyDescent="0.25">
      <c r="B12" s="159" t="s">
        <v>268</v>
      </c>
      <c r="C12" s="89"/>
      <c r="D12" s="89"/>
      <c r="E12" s="89"/>
      <c r="F12" s="89"/>
      <c r="G12" s="90">
        <f>97673.03</f>
        <v>97673.03</v>
      </c>
      <c r="H12" s="89"/>
      <c r="I12" s="89"/>
      <c r="J12" s="89"/>
      <c r="K12" s="90">
        <v>134056.49</v>
      </c>
      <c r="L12" s="176">
        <f t="shared" si="1"/>
        <v>134056.49</v>
      </c>
      <c r="M12" s="183"/>
      <c r="N12" s="184"/>
      <c r="O12" s="184"/>
      <c r="P12" s="184"/>
      <c r="Q12" s="185"/>
      <c r="R12" s="186">
        <v>36383.46</v>
      </c>
      <c r="S12" s="184"/>
      <c r="T12" s="184">
        <v>0</v>
      </c>
      <c r="U12" s="178">
        <f t="shared" si="2"/>
        <v>0</v>
      </c>
      <c r="V12" s="178">
        <f t="shared" si="3"/>
        <v>134056.49</v>
      </c>
      <c r="W12" s="178">
        <f t="shared" si="4"/>
        <v>0</v>
      </c>
      <c r="X12" s="238">
        <f t="shared" si="5"/>
        <v>134056.49</v>
      </c>
      <c r="Y12" s="187">
        <v>155000</v>
      </c>
      <c r="Z12" s="187"/>
      <c r="AA12" s="238">
        <f t="shared" si="6"/>
        <v>155000</v>
      </c>
      <c r="AB12" s="178">
        <f>+X12-AA12</f>
        <v>-20943.510000000009</v>
      </c>
      <c r="AC12" s="178"/>
      <c r="AD12" s="184">
        <v>145000</v>
      </c>
      <c r="AE12" s="184"/>
      <c r="AF12" s="182">
        <f>+AD12+AE12</f>
        <v>145000</v>
      </c>
      <c r="AH12" t="s">
        <v>280</v>
      </c>
    </row>
    <row r="13" spans="1:40" x14ac:dyDescent="0.25">
      <c r="B13" s="159" t="s">
        <v>270</v>
      </c>
      <c r="C13" s="88">
        <f t="shared" ref="C13:J13" si="7">(C11)+(C12)</f>
        <v>0</v>
      </c>
      <c r="D13" s="88">
        <f t="shared" si="7"/>
        <v>0</v>
      </c>
      <c r="E13" s="88">
        <f t="shared" si="7"/>
        <v>0</v>
      </c>
      <c r="F13" s="88">
        <f t="shared" si="7"/>
        <v>0</v>
      </c>
      <c r="G13" s="88">
        <f t="shared" si="7"/>
        <v>97673.03</v>
      </c>
      <c r="H13" s="88">
        <f t="shared" si="7"/>
        <v>0</v>
      </c>
      <c r="I13" s="88">
        <f t="shared" si="7"/>
        <v>0</v>
      </c>
      <c r="J13" s="88">
        <f t="shared" si="7"/>
        <v>0</v>
      </c>
      <c r="K13" s="88">
        <f>+K12</f>
        <v>134056.49</v>
      </c>
      <c r="L13" s="188">
        <f t="shared" si="1"/>
        <v>134056.49</v>
      </c>
      <c r="M13" s="189">
        <f t="shared" ref="M13:AF13" si="8">(M11)+(M12)</f>
        <v>0</v>
      </c>
      <c r="N13" s="190">
        <f t="shared" si="8"/>
        <v>0</v>
      </c>
      <c r="O13" s="190">
        <f t="shared" si="8"/>
        <v>0</v>
      </c>
      <c r="P13" s="190">
        <f t="shared" si="8"/>
        <v>0</v>
      </c>
      <c r="Q13" s="191">
        <f t="shared" si="8"/>
        <v>0</v>
      </c>
      <c r="R13" s="192">
        <f t="shared" si="8"/>
        <v>36383.46</v>
      </c>
      <c r="S13" s="190">
        <f t="shared" si="8"/>
        <v>0</v>
      </c>
      <c r="T13" s="190">
        <f t="shared" si="8"/>
        <v>0</v>
      </c>
      <c r="U13" s="190">
        <f t="shared" si="8"/>
        <v>0</v>
      </c>
      <c r="V13" s="190">
        <f t="shared" si="8"/>
        <v>134056.49</v>
      </c>
      <c r="W13" s="190">
        <f t="shared" si="8"/>
        <v>0</v>
      </c>
      <c r="X13" s="239">
        <f t="shared" si="8"/>
        <v>134056.49</v>
      </c>
      <c r="Y13" s="193">
        <f t="shared" si="8"/>
        <v>155000</v>
      </c>
      <c r="Z13" s="193">
        <f t="shared" si="8"/>
        <v>0</v>
      </c>
      <c r="AA13" s="239">
        <f t="shared" si="8"/>
        <v>155000</v>
      </c>
      <c r="AB13" s="190">
        <f t="shared" si="8"/>
        <v>-20943.510000000009</v>
      </c>
      <c r="AC13" s="190"/>
      <c r="AD13" s="190">
        <f t="shared" si="8"/>
        <v>145000</v>
      </c>
      <c r="AE13" s="190">
        <f t="shared" si="8"/>
        <v>0</v>
      </c>
      <c r="AF13" s="194">
        <f t="shared" si="8"/>
        <v>145000</v>
      </c>
    </row>
    <row r="14" spans="1:40" ht="18.75" x14ac:dyDescent="0.3">
      <c r="A14" s="160" t="s">
        <v>273</v>
      </c>
      <c r="B14" s="159" t="s">
        <v>269</v>
      </c>
      <c r="C14" s="147">
        <f>33333.4</f>
        <v>33333.4</v>
      </c>
      <c r="D14" s="148"/>
      <c r="E14" s="148"/>
      <c r="F14" s="148"/>
      <c r="G14" s="148"/>
      <c r="H14" s="148"/>
      <c r="I14" s="148"/>
      <c r="J14" s="148"/>
      <c r="K14" s="147">
        <f t="shared" si="0"/>
        <v>0</v>
      </c>
      <c r="L14" s="195">
        <f t="shared" si="1"/>
        <v>33333.4</v>
      </c>
      <c r="M14" s="196">
        <v>3333.3333333333335</v>
      </c>
      <c r="N14" s="197">
        <v>3333.3333333333335</v>
      </c>
      <c r="O14" s="197">
        <v>3333.3333333333335</v>
      </c>
      <c r="P14" s="184">
        <f>SUM(N14:O14)</f>
        <v>6666.666666666667</v>
      </c>
      <c r="Q14" s="198">
        <f>+P14+C14</f>
        <v>40000.066666666666</v>
      </c>
      <c r="R14" s="199"/>
      <c r="S14" s="184"/>
      <c r="T14" s="184"/>
      <c r="U14" s="184"/>
      <c r="V14" s="184">
        <f>+U14+K14</f>
        <v>0</v>
      </c>
      <c r="W14" s="184">
        <f>+U14+P14</f>
        <v>6666.666666666667</v>
      </c>
      <c r="X14" s="240">
        <f>+V14+Q14</f>
        <v>40000.066666666666</v>
      </c>
      <c r="Y14" s="187"/>
      <c r="Z14" s="187">
        <v>40000</v>
      </c>
      <c r="AA14" s="238">
        <f>+Y14+Z14</f>
        <v>40000</v>
      </c>
      <c r="AB14" s="184">
        <f>+X14-AA14</f>
        <v>6.6666666665696539E-2</v>
      </c>
      <c r="AC14" s="184"/>
      <c r="AD14" s="184"/>
      <c r="AE14" s="184">
        <v>50000</v>
      </c>
      <c r="AF14" s="182">
        <f>+AD14+AE14</f>
        <v>50000</v>
      </c>
      <c r="AH14" t="s">
        <v>281</v>
      </c>
    </row>
    <row r="15" spans="1:40" x14ac:dyDescent="0.25">
      <c r="B15" s="159" t="s">
        <v>203</v>
      </c>
      <c r="C15" s="149"/>
      <c r="D15" s="149"/>
      <c r="E15" s="149"/>
      <c r="F15" s="149"/>
      <c r="G15" s="149"/>
      <c r="H15" s="149"/>
      <c r="I15" s="149"/>
      <c r="J15" s="149"/>
      <c r="K15" s="149"/>
      <c r="L15" s="200">
        <v>24904</v>
      </c>
      <c r="M15" s="201"/>
      <c r="N15" s="202"/>
      <c r="O15" s="202"/>
      <c r="P15" s="202"/>
      <c r="Q15" s="203"/>
      <c r="R15" s="204"/>
      <c r="S15" s="205"/>
      <c r="T15" s="205"/>
      <c r="U15" s="205"/>
      <c r="V15" s="205"/>
      <c r="W15" s="205">
        <v>33571</v>
      </c>
      <c r="X15" s="238">
        <v>58476</v>
      </c>
      <c r="Y15" s="206"/>
      <c r="Z15" s="206"/>
      <c r="AA15" s="243">
        <v>50815</v>
      </c>
      <c r="AB15" s="207">
        <v>7661</v>
      </c>
      <c r="AC15" s="207"/>
      <c r="AD15" s="207"/>
      <c r="AE15" s="207"/>
      <c r="AF15" s="208">
        <v>55950</v>
      </c>
    </row>
    <row r="16" spans="1:40" x14ac:dyDescent="0.25">
      <c r="B16" s="159" t="s">
        <v>271</v>
      </c>
      <c r="C16" s="92">
        <f t="shared" ref="C16:J16" si="9">(((C9)+(C10))+(C13))+(C14)</f>
        <v>33333.4</v>
      </c>
      <c r="D16" s="92">
        <f t="shared" si="9"/>
        <v>0</v>
      </c>
      <c r="E16" s="92">
        <f t="shared" si="9"/>
        <v>0</v>
      </c>
      <c r="F16" s="92">
        <f t="shared" si="9"/>
        <v>0</v>
      </c>
      <c r="G16" s="92">
        <f t="shared" si="9"/>
        <v>122261.55</v>
      </c>
      <c r="H16" s="92">
        <f t="shared" si="9"/>
        <v>540</v>
      </c>
      <c r="I16" s="92">
        <f t="shared" si="9"/>
        <v>0</v>
      </c>
      <c r="J16" s="92">
        <f t="shared" si="9"/>
        <v>0</v>
      </c>
      <c r="K16" s="92">
        <f>+K13+K14+K10</f>
        <v>159185.00999999998</v>
      </c>
      <c r="L16" s="209">
        <f>((((C16)+(D16))+(E16))+(F16))+(K16)+L15</f>
        <v>217422.40999999997</v>
      </c>
      <c r="M16" s="189">
        <f t="shared" ref="M16:V16" si="10">(((M9)+(M10))+(M13))+(M14)</f>
        <v>3333.3333333333335</v>
      </c>
      <c r="N16" s="190">
        <f t="shared" si="10"/>
        <v>3333.3333333333335</v>
      </c>
      <c r="O16" s="190">
        <f t="shared" si="10"/>
        <v>3333.3333333333335</v>
      </c>
      <c r="P16" s="190">
        <f t="shared" si="10"/>
        <v>6666.666666666667</v>
      </c>
      <c r="Q16" s="191">
        <f t="shared" si="10"/>
        <v>40000.066666666666</v>
      </c>
      <c r="R16" s="192">
        <f t="shared" si="10"/>
        <v>37383.46</v>
      </c>
      <c r="S16" s="190">
        <f t="shared" si="10"/>
        <v>2500</v>
      </c>
      <c r="T16" s="190">
        <f t="shared" si="10"/>
        <v>1500</v>
      </c>
      <c r="U16" s="190">
        <f t="shared" si="10"/>
        <v>4000</v>
      </c>
      <c r="V16" s="190">
        <f t="shared" si="10"/>
        <v>163185.00999999998</v>
      </c>
      <c r="W16" s="190">
        <f t="shared" ref="W16:AB16" si="11">(((W9)+(W10))+(W13))+(W14)+W15</f>
        <v>44237.666666666672</v>
      </c>
      <c r="X16" s="191">
        <f t="shared" si="11"/>
        <v>261661.07666666666</v>
      </c>
      <c r="Y16" s="193">
        <f t="shared" si="11"/>
        <v>187000</v>
      </c>
      <c r="Z16" s="193">
        <f t="shared" si="11"/>
        <v>40000</v>
      </c>
      <c r="AA16" s="191">
        <f t="shared" si="11"/>
        <v>277815</v>
      </c>
      <c r="AB16" s="190">
        <f t="shared" si="11"/>
        <v>-16153.923333333343</v>
      </c>
      <c r="AC16" s="190"/>
      <c r="AD16" s="190">
        <f>(((AD9)+(AD10))+(AD13))+(AD14)+AD15</f>
        <v>175000</v>
      </c>
      <c r="AE16" s="190">
        <f>(((AE9)+(AE10))+(AE13))+(AE14)+AE15</f>
        <v>50000</v>
      </c>
      <c r="AF16" s="194">
        <f>(((AF9)+(AF10))+(AF13))+(AF14)+AF15</f>
        <v>280950</v>
      </c>
    </row>
    <row r="17" spans="1:45" x14ac:dyDescent="0.25">
      <c r="B17" s="159" t="s">
        <v>272</v>
      </c>
      <c r="C17" s="89"/>
      <c r="D17" s="89"/>
      <c r="E17" s="89"/>
      <c r="F17" s="89"/>
      <c r="G17" s="90">
        <f>719.89</f>
        <v>719.89</v>
      </c>
      <c r="H17" s="89"/>
      <c r="I17" s="89"/>
      <c r="J17" s="89"/>
      <c r="K17" s="90">
        <f t="shared" ref="K17" si="12">(((G17)+(H17))+(I17))+(J17)</f>
        <v>719.89</v>
      </c>
      <c r="L17" s="176">
        <f t="shared" ref="L17" si="13">((((C17)+(D17))+(E17))+(F17))+(K17)</f>
        <v>719.89</v>
      </c>
      <c r="M17" s="183"/>
      <c r="N17" s="184"/>
      <c r="O17" s="184"/>
      <c r="P17" s="184"/>
      <c r="Q17" s="185"/>
      <c r="R17" s="199"/>
      <c r="S17" s="184"/>
      <c r="T17" s="184"/>
      <c r="U17" s="178">
        <f>SUM(R17:T17)</f>
        <v>0</v>
      </c>
      <c r="V17" s="178">
        <f>+U17+K17</f>
        <v>719.89</v>
      </c>
      <c r="W17" s="184">
        <f>+U17+P17</f>
        <v>0</v>
      </c>
      <c r="X17" s="238">
        <f>+V17+Q17</f>
        <v>719.89</v>
      </c>
      <c r="Y17" s="187"/>
      <c r="Z17" s="187"/>
      <c r="AA17" s="240">
        <v>0</v>
      </c>
      <c r="AB17" s="184">
        <f>+X17-AA17</f>
        <v>719.89</v>
      </c>
      <c r="AC17" s="184"/>
      <c r="AD17" s="184"/>
      <c r="AE17" s="184"/>
      <c r="AF17" s="210"/>
    </row>
    <row r="18" spans="1:45" hidden="1" x14ac:dyDescent="0.25">
      <c r="C18" s="88">
        <f t="shared" ref="C18:AF18" si="14">(C16)+(C17)</f>
        <v>33333.4</v>
      </c>
      <c r="D18" s="88">
        <f t="shared" si="14"/>
        <v>0</v>
      </c>
      <c r="E18" s="88">
        <f t="shared" si="14"/>
        <v>0</v>
      </c>
      <c r="F18" s="88">
        <f t="shared" si="14"/>
        <v>0</v>
      </c>
      <c r="G18" s="88">
        <f t="shared" si="14"/>
        <v>122981.44</v>
      </c>
      <c r="H18" s="88">
        <f t="shared" si="14"/>
        <v>540</v>
      </c>
      <c r="I18" s="88">
        <f t="shared" si="14"/>
        <v>0</v>
      </c>
      <c r="J18" s="88">
        <f t="shared" si="14"/>
        <v>0</v>
      </c>
      <c r="K18" s="88">
        <f t="shared" si="14"/>
        <v>159904.9</v>
      </c>
      <c r="L18" s="188">
        <f t="shared" si="14"/>
        <v>218142.3</v>
      </c>
      <c r="M18" s="189">
        <f t="shared" si="14"/>
        <v>3333.3333333333335</v>
      </c>
      <c r="N18" s="190">
        <f t="shared" si="14"/>
        <v>3333.3333333333335</v>
      </c>
      <c r="O18" s="190">
        <f t="shared" si="14"/>
        <v>3333.3333333333335</v>
      </c>
      <c r="P18" s="190">
        <f t="shared" si="14"/>
        <v>6666.666666666667</v>
      </c>
      <c r="Q18" s="211">
        <f t="shared" si="14"/>
        <v>40000.066666666666</v>
      </c>
      <c r="R18" s="192">
        <f t="shared" si="14"/>
        <v>37383.46</v>
      </c>
      <c r="S18" s="190">
        <f t="shared" si="14"/>
        <v>2500</v>
      </c>
      <c r="T18" s="190">
        <f t="shared" si="14"/>
        <v>1500</v>
      </c>
      <c r="U18" s="190">
        <f t="shared" si="14"/>
        <v>4000</v>
      </c>
      <c r="V18" s="190">
        <f t="shared" si="14"/>
        <v>163904.9</v>
      </c>
      <c r="W18" s="190">
        <f t="shared" ref="W18" si="15">(W16)+(W17)</f>
        <v>44237.666666666672</v>
      </c>
      <c r="X18" s="239">
        <f t="shared" si="14"/>
        <v>262380.96666666667</v>
      </c>
      <c r="Y18" s="193">
        <f t="shared" si="14"/>
        <v>187000</v>
      </c>
      <c r="Z18" s="193">
        <f t="shared" si="14"/>
        <v>40000</v>
      </c>
      <c r="AA18" s="239">
        <f t="shared" si="14"/>
        <v>277815</v>
      </c>
      <c r="AB18" s="190">
        <f t="shared" si="14"/>
        <v>-15434.033333333344</v>
      </c>
      <c r="AC18" s="190"/>
      <c r="AD18" s="190">
        <f t="shared" si="14"/>
        <v>175000</v>
      </c>
      <c r="AE18" s="190">
        <f t="shared" si="14"/>
        <v>50000</v>
      </c>
      <c r="AF18" s="194">
        <f t="shared" si="14"/>
        <v>280950</v>
      </c>
    </row>
    <row r="19" spans="1:45" x14ac:dyDescent="0.25">
      <c r="B19" s="159" t="s">
        <v>116</v>
      </c>
      <c r="C19" s="88">
        <f t="shared" ref="C19:AF19" si="16">(C18)-(0)</f>
        <v>33333.4</v>
      </c>
      <c r="D19" s="88">
        <f t="shared" si="16"/>
        <v>0</v>
      </c>
      <c r="E19" s="88">
        <f t="shared" si="16"/>
        <v>0</v>
      </c>
      <c r="F19" s="88">
        <f t="shared" si="16"/>
        <v>0</v>
      </c>
      <c r="G19" s="88">
        <f t="shared" si="16"/>
        <v>122981.44</v>
      </c>
      <c r="H19" s="88">
        <f t="shared" si="16"/>
        <v>540</v>
      </c>
      <c r="I19" s="88">
        <f t="shared" si="16"/>
        <v>0</v>
      </c>
      <c r="J19" s="88">
        <f t="shared" si="16"/>
        <v>0</v>
      </c>
      <c r="K19" s="88">
        <f t="shared" si="16"/>
        <v>159904.9</v>
      </c>
      <c r="L19" s="188">
        <f t="shared" si="16"/>
        <v>218142.3</v>
      </c>
      <c r="M19" s="189">
        <f t="shared" si="16"/>
        <v>3333.3333333333335</v>
      </c>
      <c r="N19" s="190">
        <f t="shared" si="16"/>
        <v>3333.3333333333335</v>
      </c>
      <c r="O19" s="190">
        <f t="shared" si="16"/>
        <v>3333.3333333333335</v>
      </c>
      <c r="P19" s="190">
        <f t="shared" si="16"/>
        <v>6666.666666666667</v>
      </c>
      <c r="Q19" s="191">
        <f t="shared" si="16"/>
        <v>40000.066666666666</v>
      </c>
      <c r="R19" s="192">
        <f t="shared" si="16"/>
        <v>37383.46</v>
      </c>
      <c r="S19" s="190">
        <f t="shared" si="16"/>
        <v>2500</v>
      </c>
      <c r="T19" s="190">
        <f t="shared" si="16"/>
        <v>1500</v>
      </c>
      <c r="U19" s="190">
        <f t="shared" si="16"/>
        <v>4000</v>
      </c>
      <c r="V19" s="190">
        <f t="shared" si="16"/>
        <v>163904.9</v>
      </c>
      <c r="W19" s="190">
        <f t="shared" ref="W19" si="17">(W18)-(0)</f>
        <v>44237.666666666672</v>
      </c>
      <c r="X19" s="239">
        <f t="shared" si="16"/>
        <v>262380.96666666667</v>
      </c>
      <c r="Y19" s="193">
        <f t="shared" si="16"/>
        <v>187000</v>
      </c>
      <c r="Z19" s="193">
        <f t="shared" si="16"/>
        <v>40000</v>
      </c>
      <c r="AA19" s="239">
        <f t="shared" si="16"/>
        <v>277815</v>
      </c>
      <c r="AB19" s="190">
        <f t="shared" si="16"/>
        <v>-15434.033333333344</v>
      </c>
      <c r="AC19" s="190"/>
      <c r="AD19" s="190">
        <f t="shared" si="16"/>
        <v>175000</v>
      </c>
      <c r="AE19" s="190">
        <f t="shared" si="16"/>
        <v>50000</v>
      </c>
      <c r="AF19" s="194">
        <f t="shared" si="16"/>
        <v>280950</v>
      </c>
    </row>
    <row r="20" spans="1:45" x14ac:dyDescent="0.25">
      <c r="A20" s="109"/>
      <c r="B20" s="165"/>
      <c r="C20" s="150"/>
      <c r="D20" s="150"/>
      <c r="E20" s="150"/>
      <c r="F20" s="150"/>
      <c r="G20" s="150"/>
      <c r="H20" s="150"/>
      <c r="I20" s="150"/>
      <c r="J20" s="150"/>
      <c r="K20" s="150"/>
      <c r="L20" s="212"/>
      <c r="M20" s="213"/>
      <c r="N20" s="214"/>
      <c r="O20" s="214"/>
      <c r="P20" s="214"/>
      <c r="Q20" s="215"/>
      <c r="R20" s="216"/>
      <c r="S20" s="214"/>
      <c r="T20" s="214"/>
      <c r="U20" s="214"/>
      <c r="V20" s="214"/>
      <c r="W20" s="214"/>
      <c r="X20" s="241"/>
      <c r="Y20" s="217"/>
      <c r="Z20" s="217"/>
      <c r="AA20" s="241"/>
      <c r="AB20" s="214"/>
      <c r="AC20" s="214"/>
      <c r="AD20" s="214"/>
      <c r="AE20" s="214"/>
      <c r="AF20" s="218"/>
    </row>
    <row r="21" spans="1:45" x14ac:dyDescent="0.25">
      <c r="A21" s="109"/>
      <c r="B21" s="3"/>
      <c r="C21" s="92"/>
      <c r="D21" s="92"/>
      <c r="E21" s="92"/>
      <c r="F21" s="92"/>
      <c r="G21" s="92"/>
      <c r="H21" s="92"/>
      <c r="I21" s="92"/>
      <c r="J21" s="92"/>
      <c r="K21" s="92"/>
      <c r="L21" s="209"/>
      <c r="M21" s="219"/>
      <c r="N21" s="220"/>
      <c r="O21" s="220"/>
      <c r="P21" s="220"/>
      <c r="Q21" s="221"/>
      <c r="R21" s="222"/>
      <c r="S21" s="220"/>
      <c r="T21" s="220"/>
      <c r="U21" s="220"/>
      <c r="V21" s="220"/>
      <c r="W21" s="220"/>
      <c r="X21" s="236"/>
      <c r="Y21" s="223"/>
      <c r="Z21" s="223"/>
      <c r="AA21" s="236"/>
      <c r="AB21" s="224"/>
      <c r="AC21" s="220"/>
      <c r="AD21" s="220"/>
      <c r="AE21" s="220"/>
      <c r="AF21" s="225"/>
    </row>
    <row r="22" spans="1:45" x14ac:dyDescent="0.25">
      <c r="A22" s="109"/>
      <c r="B22" s="3" t="s">
        <v>252</v>
      </c>
      <c r="C22" s="92">
        <f>+C197</f>
        <v>0</v>
      </c>
      <c r="D22" s="92">
        <f t="shared" ref="D22:K22" si="18">+D197</f>
        <v>0</v>
      </c>
      <c r="E22" s="92">
        <f t="shared" si="18"/>
        <v>0</v>
      </c>
      <c r="F22" s="92">
        <f t="shared" si="18"/>
        <v>0</v>
      </c>
      <c r="G22" s="92">
        <f t="shared" si="18"/>
        <v>0</v>
      </c>
      <c r="H22" s="92">
        <f t="shared" si="18"/>
        <v>0</v>
      </c>
      <c r="I22" s="92">
        <f t="shared" si="18"/>
        <v>0</v>
      </c>
      <c r="J22" s="92">
        <f t="shared" si="18"/>
        <v>0</v>
      </c>
      <c r="K22" s="92">
        <f t="shared" si="18"/>
        <v>0</v>
      </c>
      <c r="L22" s="176">
        <f t="shared" ref="L22:L29" si="19">((((C22)+(D22))+(E22))+(F22))+(K22)</f>
        <v>0</v>
      </c>
      <c r="M22" s="219"/>
      <c r="N22" s="220">
        <f>+N197</f>
        <v>0</v>
      </c>
      <c r="O22" s="220">
        <f t="shared" ref="O22" si="20">+O197</f>
        <v>9000</v>
      </c>
      <c r="P22" s="220">
        <f>SUM(N22:O22)</f>
        <v>9000</v>
      </c>
      <c r="Q22" s="221">
        <f>+P22+C22</f>
        <v>9000</v>
      </c>
      <c r="R22" s="222"/>
      <c r="S22" s="220">
        <f>+S197</f>
        <v>0</v>
      </c>
      <c r="T22" s="220">
        <f>+T197</f>
        <v>0</v>
      </c>
      <c r="U22" s="220">
        <f>+S22+T22</f>
        <v>0</v>
      </c>
      <c r="V22" s="220">
        <f>+U22+K22</f>
        <v>0</v>
      </c>
      <c r="W22" s="178">
        <f t="shared" ref="W22:W28" si="21">+U22+P22</f>
        <v>9000</v>
      </c>
      <c r="X22" s="203">
        <f>+X197</f>
        <v>9000</v>
      </c>
      <c r="Y22" s="226"/>
      <c r="Z22" s="226"/>
      <c r="AA22" s="203">
        <v>18000</v>
      </c>
      <c r="AB22" s="227">
        <f t="shared" ref="AB22:AB28" si="22">+AA22-X22</f>
        <v>9000</v>
      </c>
      <c r="AC22" s="227"/>
      <c r="AD22" s="220">
        <f>+AD197</f>
        <v>0</v>
      </c>
      <c r="AE22" s="220">
        <f>+AE197</f>
        <v>12000</v>
      </c>
      <c r="AF22" s="228">
        <v>12000</v>
      </c>
      <c r="AH22" t="s">
        <v>282</v>
      </c>
    </row>
    <row r="23" spans="1:45" x14ac:dyDescent="0.25">
      <c r="A23" s="109"/>
      <c r="B23" s="3" t="s">
        <v>266</v>
      </c>
      <c r="C23" s="92"/>
      <c r="D23" s="92"/>
      <c r="E23" s="92"/>
      <c r="F23" s="92"/>
      <c r="G23" s="92"/>
      <c r="H23" s="92"/>
      <c r="I23" s="92"/>
      <c r="J23" s="92"/>
      <c r="K23" s="92"/>
      <c r="L23" s="176">
        <f t="shared" si="19"/>
        <v>0</v>
      </c>
      <c r="M23" s="219"/>
      <c r="N23" s="220"/>
      <c r="O23" s="220"/>
      <c r="P23" s="220">
        <f t="shared" ref="P23:P28" si="23">SUM(N23:O23)</f>
        <v>0</v>
      </c>
      <c r="Q23" s="221">
        <f t="shared" ref="Q23:Q28" si="24">+P23+C23</f>
        <v>0</v>
      </c>
      <c r="R23" s="222"/>
      <c r="S23" s="220"/>
      <c r="T23" s="220"/>
      <c r="U23" s="220"/>
      <c r="V23" s="220">
        <f t="shared" ref="V23:V28" si="25">+U23+K23</f>
        <v>0</v>
      </c>
      <c r="W23" s="178">
        <f t="shared" si="21"/>
        <v>0</v>
      </c>
      <c r="X23" s="242">
        <v>0</v>
      </c>
      <c r="Y23" s="226"/>
      <c r="Z23" s="226"/>
      <c r="AA23" s="242">
        <v>0</v>
      </c>
      <c r="AB23" s="202">
        <f t="shared" si="22"/>
        <v>0</v>
      </c>
      <c r="AC23" s="227"/>
      <c r="AD23" s="227">
        <f>+AD198</f>
        <v>0</v>
      </c>
      <c r="AE23" s="227">
        <f>+AE198</f>
        <v>10000</v>
      </c>
      <c r="AF23" s="228">
        <f>+AF198</f>
        <v>10000</v>
      </c>
      <c r="AH23" s="72" t="s">
        <v>283</v>
      </c>
    </row>
    <row r="24" spans="1:45" ht="18.75" x14ac:dyDescent="0.3">
      <c r="A24" s="161" t="s">
        <v>275</v>
      </c>
      <c r="B24" s="3" t="s">
        <v>255</v>
      </c>
      <c r="C24" s="92">
        <f>+C205</f>
        <v>12000</v>
      </c>
      <c r="D24" s="92">
        <f t="shared" ref="D24:K24" si="26">+D205</f>
        <v>0</v>
      </c>
      <c r="E24" s="92">
        <f t="shared" si="26"/>
        <v>0</v>
      </c>
      <c r="F24" s="92">
        <f t="shared" si="26"/>
        <v>0</v>
      </c>
      <c r="G24" s="92">
        <f t="shared" si="26"/>
        <v>0</v>
      </c>
      <c r="H24" s="92">
        <f t="shared" si="26"/>
        <v>0</v>
      </c>
      <c r="I24" s="92">
        <f t="shared" si="26"/>
        <v>0</v>
      </c>
      <c r="J24" s="92">
        <f t="shared" si="26"/>
        <v>18000</v>
      </c>
      <c r="K24" s="92">
        <f t="shared" si="26"/>
        <v>18000</v>
      </c>
      <c r="L24" s="176">
        <f t="shared" si="19"/>
        <v>30000</v>
      </c>
      <c r="M24" s="219"/>
      <c r="N24" s="220">
        <f>+N205</f>
        <v>0</v>
      </c>
      <c r="O24" s="220">
        <f t="shared" ref="O24" si="27">+O205</f>
        <v>0</v>
      </c>
      <c r="P24" s="220">
        <f t="shared" si="23"/>
        <v>0</v>
      </c>
      <c r="Q24" s="221">
        <f t="shared" si="24"/>
        <v>12000</v>
      </c>
      <c r="R24" s="222"/>
      <c r="S24" s="220">
        <f>+S205</f>
        <v>0</v>
      </c>
      <c r="T24" s="220">
        <f t="shared" ref="T24" si="28">+T205</f>
        <v>0</v>
      </c>
      <c r="U24" s="220">
        <f t="shared" ref="U24:U28" si="29">SUM(S24:T24)</f>
        <v>0</v>
      </c>
      <c r="V24" s="220">
        <f t="shared" si="25"/>
        <v>18000</v>
      </c>
      <c r="W24" s="178">
        <f t="shared" si="21"/>
        <v>0</v>
      </c>
      <c r="X24" s="203">
        <f>+X205</f>
        <v>30000</v>
      </c>
      <c r="Y24" s="226">
        <f t="shared" ref="Y24:AA24" si="30">+Y205</f>
        <v>33000</v>
      </c>
      <c r="Z24" s="226">
        <f t="shared" si="30"/>
        <v>0</v>
      </c>
      <c r="AA24" s="203">
        <f t="shared" si="30"/>
        <v>33000</v>
      </c>
      <c r="AB24" s="227">
        <f t="shared" si="22"/>
        <v>3000</v>
      </c>
      <c r="AC24" s="227"/>
      <c r="AD24" s="220" t="e">
        <f>+AD205</f>
        <v>#REF!</v>
      </c>
      <c r="AE24" s="220">
        <f>+AE205</f>
        <v>0</v>
      </c>
      <c r="AF24" s="228">
        <v>29000</v>
      </c>
      <c r="AH24" t="s">
        <v>284</v>
      </c>
    </row>
    <row r="25" spans="1:45" x14ac:dyDescent="0.25">
      <c r="A25" s="109"/>
      <c r="B25" s="3" t="s">
        <v>253</v>
      </c>
      <c r="C25" s="92">
        <f>+C214</f>
        <v>61417.270000000004</v>
      </c>
      <c r="D25" s="92">
        <f t="shared" ref="D25:K25" si="31">+D214</f>
        <v>0</v>
      </c>
      <c r="E25" s="92">
        <f t="shared" si="31"/>
        <v>0</v>
      </c>
      <c r="F25" s="92">
        <f t="shared" si="31"/>
        <v>0</v>
      </c>
      <c r="G25" s="92">
        <f t="shared" si="31"/>
        <v>0</v>
      </c>
      <c r="H25" s="92">
        <f t="shared" si="31"/>
        <v>0</v>
      </c>
      <c r="I25" s="92">
        <f t="shared" si="31"/>
        <v>47960.31</v>
      </c>
      <c r="J25" s="92">
        <f t="shared" si="31"/>
        <v>0</v>
      </c>
      <c r="K25" s="92">
        <f t="shared" si="31"/>
        <v>61960.31</v>
      </c>
      <c r="L25" s="176">
        <f t="shared" si="19"/>
        <v>123377.58</v>
      </c>
      <c r="M25" s="219"/>
      <c r="N25" s="220">
        <f>+N214</f>
        <v>6050</v>
      </c>
      <c r="O25" s="220">
        <f t="shared" ref="O25" si="32">+O214</f>
        <v>6050</v>
      </c>
      <c r="P25" s="220">
        <f t="shared" si="23"/>
        <v>12100</v>
      </c>
      <c r="Q25" s="221">
        <f t="shared" si="24"/>
        <v>73517.27</v>
      </c>
      <c r="R25" s="222"/>
      <c r="S25" s="220">
        <f>+S214</f>
        <v>5951.7960000000003</v>
      </c>
      <c r="T25" s="220">
        <f t="shared" ref="T25" si="33">+T214</f>
        <v>5951.7960000000003</v>
      </c>
      <c r="U25" s="220">
        <f t="shared" si="29"/>
        <v>11903.592000000001</v>
      </c>
      <c r="V25" s="220">
        <f t="shared" si="25"/>
        <v>73863.902000000002</v>
      </c>
      <c r="W25" s="178">
        <f t="shared" si="21"/>
        <v>24003.592000000001</v>
      </c>
      <c r="X25" s="203">
        <f>+X214</f>
        <v>147381.17200000002</v>
      </c>
      <c r="Y25" s="226"/>
      <c r="Z25" s="226"/>
      <c r="AA25" s="203">
        <v>158525</v>
      </c>
      <c r="AB25" s="227">
        <f t="shared" si="22"/>
        <v>11143.82799999998</v>
      </c>
      <c r="AC25" s="227"/>
      <c r="AD25" s="220" t="e">
        <f>+AD214</f>
        <v>#REF!</v>
      </c>
      <c r="AE25" s="220" t="e">
        <f>+AE214</f>
        <v>#REF!</v>
      </c>
      <c r="AF25" s="228" t="e">
        <f>+AF214</f>
        <v>#REF!</v>
      </c>
      <c r="AG25" t="s">
        <v>295</v>
      </c>
      <c r="AN25" t="s">
        <v>242</v>
      </c>
    </row>
    <row r="26" spans="1:45" x14ac:dyDescent="0.25">
      <c r="A26" s="109"/>
      <c r="B26" s="3" t="s">
        <v>254</v>
      </c>
      <c r="C26" s="92">
        <f>+C219</f>
        <v>5500</v>
      </c>
      <c r="D26" s="92">
        <f t="shared" ref="D26:K26" si="34">+D219</f>
        <v>0</v>
      </c>
      <c r="E26" s="92">
        <f t="shared" si="34"/>
        <v>0</v>
      </c>
      <c r="F26" s="92">
        <f t="shared" si="34"/>
        <v>0</v>
      </c>
      <c r="G26" s="92">
        <f t="shared" si="34"/>
        <v>0</v>
      </c>
      <c r="H26" s="92">
        <f t="shared" si="34"/>
        <v>0</v>
      </c>
      <c r="I26" s="92">
        <f t="shared" si="34"/>
        <v>26555</v>
      </c>
      <c r="J26" s="92">
        <f t="shared" si="34"/>
        <v>0</v>
      </c>
      <c r="K26" s="92">
        <f t="shared" si="34"/>
        <v>26555</v>
      </c>
      <c r="L26" s="176">
        <f t="shared" si="19"/>
        <v>32055</v>
      </c>
      <c r="M26" s="219"/>
      <c r="N26" s="220">
        <f>+N219</f>
        <v>440</v>
      </c>
      <c r="O26" s="220">
        <f t="shared" ref="O26" si="35">+O219</f>
        <v>440</v>
      </c>
      <c r="P26" s="220">
        <f t="shared" si="23"/>
        <v>880</v>
      </c>
      <c r="Q26" s="221">
        <f t="shared" si="24"/>
        <v>6380</v>
      </c>
      <c r="R26" s="222"/>
      <c r="S26" s="220">
        <f>+S219</f>
        <v>1760</v>
      </c>
      <c r="T26" s="220">
        <f t="shared" ref="T26" si="36">+T219</f>
        <v>1760</v>
      </c>
      <c r="U26" s="220">
        <f t="shared" si="29"/>
        <v>3520</v>
      </c>
      <c r="V26" s="220">
        <f t="shared" si="25"/>
        <v>30075</v>
      </c>
      <c r="W26" s="178">
        <f t="shared" si="21"/>
        <v>4400</v>
      </c>
      <c r="X26" s="203">
        <f>+X219</f>
        <v>36455</v>
      </c>
      <c r="Y26" s="226"/>
      <c r="Z26" s="226"/>
      <c r="AA26" s="203">
        <v>36900</v>
      </c>
      <c r="AB26" s="227">
        <f t="shared" si="22"/>
        <v>445</v>
      </c>
      <c r="AC26" s="227"/>
      <c r="AD26" s="220">
        <f>+AD219</f>
        <v>36900</v>
      </c>
      <c r="AE26" s="220">
        <f>+AE219</f>
        <v>0</v>
      </c>
      <c r="AF26" s="228">
        <v>36900</v>
      </c>
      <c r="AH26" t="s">
        <v>288</v>
      </c>
      <c r="AJ26" t="s">
        <v>243</v>
      </c>
      <c r="AK26" t="s">
        <v>244</v>
      </c>
      <c r="AL26" t="s">
        <v>245</v>
      </c>
      <c r="AM26">
        <v>48</v>
      </c>
      <c r="AN26" s="119">
        <v>0.03</v>
      </c>
      <c r="AO26" t="s">
        <v>246</v>
      </c>
      <c r="AP26" t="s">
        <v>244</v>
      </c>
      <c r="AQ26" t="s">
        <v>247</v>
      </c>
      <c r="AR26" t="s">
        <v>248</v>
      </c>
    </row>
    <row r="27" spans="1:45" x14ac:dyDescent="0.25">
      <c r="A27" s="109"/>
      <c r="B27" s="3" t="s">
        <v>256</v>
      </c>
      <c r="C27" s="92">
        <f>+C231</f>
        <v>3639.31</v>
      </c>
      <c r="D27" s="92">
        <f t="shared" ref="D27:K27" si="37">+D231</f>
        <v>0</v>
      </c>
      <c r="E27" s="92">
        <f t="shared" si="37"/>
        <v>0</v>
      </c>
      <c r="F27" s="92">
        <f t="shared" si="37"/>
        <v>0</v>
      </c>
      <c r="G27" s="92">
        <f t="shared" si="37"/>
        <v>0</v>
      </c>
      <c r="H27" s="92">
        <f t="shared" si="37"/>
        <v>530.04999999999995</v>
      </c>
      <c r="I27" s="92">
        <f t="shared" si="37"/>
        <v>2966.3199999999997</v>
      </c>
      <c r="J27" s="92">
        <f t="shared" si="37"/>
        <v>240</v>
      </c>
      <c r="K27" s="92">
        <f t="shared" si="37"/>
        <v>3736.37</v>
      </c>
      <c r="L27" s="176">
        <f t="shared" si="19"/>
        <v>7375.68</v>
      </c>
      <c r="M27" s="219"/>
      <c r="N27" s="220">
        <f>+N231</f>
        <v>593</v>
      </c>
      <c r="O27" s="220">
        <f t="shared" ref="O27" si="38">+O231</f>
        <v>135</v>
      </c>
      <c r="P27" s="220">
        <f t="shared" si="23"/>
        <v>728</v>
      </c>
      <c r="Q27" s="221">
        <f t="shared" si="24"/>
        <v>4367.3099999999995</v>
      </c>
      <c r="R27" s="222"/>
      <c r="S27" s="220">
        <f>+S231</f>
        <v>60</v>
      </c>
      <c r="T27" s="220">
        <f t="shared" ref="T27" si="39">+T231</f>
        <v>60</v>
      </c>
      <c r="U27" s="220">
        <f t="shared" si="29"/>
        <v>120</v>
      </c>
      <c r="V27" s="220">
        <f t="shared" si="25"/>
        <v>3856.37</v>
      </c>
      <c r="W27" s="178">
        <f t="shared" si="21"/>
        <v>848</v>
      </c>
      <c r="X27" s="203">
        <f>+X231</f>
        <v>8223.68</v>
      </c>
      <c r="Y27" s="226"/>
      <c r="Z27" s="226"/>
      <c r="AA27" s="203">
        <v>4740</v>
      </c>
      <c r="AB27" s="227">
        <f t="shared" si="22"/>
        <v>-3483.6800000000003</v>
      </c>
      <c r="AC27" s="227"/>
      <c r="AD27" s="220">
        <f>+AD231</f>
        <v>6850</v>
      </c>
      <c r="AE27" s="220">
        <f>+AE231</f>
        <v>0</v>
      </c>
      <c r="AF27" s="228">
        <v>6850</v>
      </c>
      <c r="AH27" t="s">
        <v>307</v>
      </c>
      <c r="AI27" t="s">
        <v>193</v>
      </c>
      <c r="AJ27" s="81">
        <v>51.5</v>
      </c>
      <c r="AK27">
        <v>25</v>
      </c>
      <c r="AL27" s="82">
        <f>+AJ27*AK27</f>
        <v>1287.5</v>
      </c>
      <c r="AM27" s="82">
        <f>+AL27*$AM$26</f>
        <v>61800</v>
      </c>
      <c r="AN27" s="81">
        <v>1.5449999999999999</v>
      </c>
      <c r="AO27" s="81">
        <v>53.045000000000002</v>
      </c>
      <c r="AP27">
        <v>25</v>
      </c>
      <c r="AQ27" s="81">
        <v>1326.125</v>
      </c>
      <c r="AR27" s="82">
        <f>+AQ27*AM26</f>
        <v>63654</v>
      </c>
    </row>
    <row r="28" spans="1:45" x14ac:dyDescent="0.25">
      <c r="A28" s="109"/>
      <c r="B28" s="3" t="s">
        <v>257</v>
      </c>
      <c r="C28" s="150">
        <f>+C196+C199+C200+C201+C203+C204+C206+C207+C222+C232+C233+C234+C235+C237</f>
        <v>9142.09</v>
      </c>
      <c r="D28" s="150"/>
      <c r="E28" s="150"/>
      <c r="F28" s="150"/>
      <c r="G28" s="150"/>
      <c r="H28" s="150"/>
      <c r="I28" s="150"/>
      <c r="J28" s="150"/>
      <c r="K28" s="150">
        <f>+K196+K199+K200+K201+K203+K204+K206+K207+K222+K232+K233+K234+K235+K237</f>
        <v>16192.33</v>
      </c>
      <c r="L28" s="195">
        <f t="shared" si="19"/>
        <v>25334.42</v>
      </c>
      <c r="M28" s="219"/>
      <c r="N28" s="214">
        <f>+N196+N199+N200+N201+N203+N204+N206+N207+N222+N232+N233+N234+N235+N237</f>
        <v>5606.24</v>
      </c>
      <c r="O28" s="214">
        <f>+O196+O199+O200+O201+O203+O204+O206+O207+O222+O232+O233+O234+O235+O237</f>
        <v>170</v>
      </c>
      <c r="P28" s="214">
        <f t="shared" si="23"/>
        <v>5776.24</v>
      </c>
      <c r="Q28" s="215">
        <f t="shared" si="24"/>
        <v>14918.33</v>
      </c>
      <c r="R28" s="222"/>
      <c r="S28" s="214">
        <f>+S196+S199+S200+S201+S203+S204+S206+S207+S222+S232+S233+S234+S235+S237</f>
        <v>80</v>
      </c>
      <c r="T28" s="214">
        <f>+T196+T199+T200+T201+T203+T204+T206+T207+T222+T232+T233+T234+T235+T237</f>
        <v>130</v>
      </c>
      <c r="U28" s="214">
        <f t="shared" si="29"/>
        <v>210</v>
      </c>
      <c r="V28" s="214">
        <f t="shared" si="25"/>
        <v>16402.330000000002</v>
      </c>
      <c r="W28" s="184">
        <f t="shared" si="21"/>
        <v>5986.24</v>
      </c>
      <c r="X28" s="198">
        <f>+X196+X199+X200+X201+X203+X204+X206+X207+X222+X232+X233+X234+X235+X237</f>
        <v>31320.660000000003</v>
      </c>
      <c r="Y28" s="229">
        <f t="shared" ref="Y28:Z28" si="40">+Y196+Y199+Y200+Y201+Y203+Y204+Y206+Y207+Y222+Y232+Y233+Y234+Y235+Y237</f>
        <v>25600</v>
      </c>
      <c r="Z28" s="229">
        <f t="shared" si="40"/>
        <v>0</v>
      </c>
      <c r="AA28" s="198">
        <f>+AA196+AA199+AA200+AA201+AA203+AA204+AA206+AA207+AA222+AA232+AA233+AA234+AA235+AA237+AA202+AA208</f>
        <v>26650</v>
      </c>
      <c r="AB28" s="197">
        <f t="shared" si="22"/>
        <v>-4670.6600000000035</v>
      </c>
      <c r="AC28" s="227"/>
      <c r="AD28" s="214">
        <f>+AD196+AD199+AD200+AD201+AD203+AD204+AD206+AD207+AD222+AD232+AD233+AD234+AD235+AD237</f>
        <v>20700</v>
      </c>
      <c r="AE28" s="214">
        <f>+AE196+AE199+AE200+AE201+AE203+AE204+AE206+AE207+AE222+AE232+AE233+AE234+AE235+AE237</f>
        <v>8925</v>
      </c>
      <c r="AF28" s="230">
        <f>+AF196+AF199+AF200+AF201+AF203+AF204+AF206+AF207+AF222+AF232+AF233+AF234+AF235+AF237+AF202+AF208</f>
        <v>30125</v>
      </c>
      <c r="AH28" t="s">
        <v>307</v>
      </c>
      <c r="AI28" t="s">
        <v>192</v>
      </c>
      <c r="AJ28" s="81">
        <v>22</v>
      </c>
      <c r="AK28">
        <v>22</v>
      </c>
      <c r="AL28" s="82">
        <f t="shared" ref="AL28:AL29" si="41">+AJ28*AK28</f>
        <v>484</v>
      </c>
      <c r="AM28" s="82">
        <f t="shared" ref="AM28:AM29" si="42">+AL28*$AM$26</f>
        <v>23232</v>
      </c>
      <c r="AN28" s="81">
        <v>3</v>
      </c>
      <c r="AO28" s="81">
        <v>25</v>
      </c>
      <c r="AP28">
        <v>22</v>
      </c>
      <c r="AQ28" s="81">
        <v>550</v>
      </c>
      <c r="AR28" s="82">
        <f>+AQ28*AM26</f>
        <v>26400</v>
      </c>
    </row>
    <row r="29" spans="1:45" x14ac:dyDescent="0.25">
      <c r="A29" s="109"/>
      <c r="B29" s="165" t="s">
        <v>76</v>
      </c>
      <c r="C29" s="150">
        <f>SUM(C22:C28)</f>
        <v>91698.67</v>
      </c>
      <c r="D29" s="150">
        <f t="shared" ref="D29:K29" si="43">SUM(D22:D28)</f>
        <v>0</v>
      </c>
      <c r="E29" s="150">
        <f t="shared" si="43"/>
        <v>0</v>
      </c>
      <c r="F29" s="150">
        <f t="shared" si="43"/>
        <v>0</v>
      </c>
      <c r="G29" s="150">
        <f t="shared" si="43"/>
        <v>0</v>
      </c>
      <c r="H29" s="150">
        <f t="shared" si="43"/>
        <v>530.04999999999995</v>
      </c>
      <c r="I29" s="150">
        <f t="shared" si="43"/>
        <v>77481.63</v>
      </c>
      <c r="J29" s="150">
        <f t="shared" si="43"/>
        <v>18240</v>
      </c>
      <c r="K29" s="150">
        <f t="shared" si="43"/>
        <v>126444.01</v>
      </c>
      <c r="L29" s="212">
        <f t="shared" si="19"/>
        <v>218142.68</v>
      </c>
      <c r="M29" s="213"/>
      <c r="N29" s="214">
        <f>SUM(N22:N28)</f>
        <v>12689.24</v>
      </c>
      <c r="O29" s="214">
        <f t="shared" ref="O29:Q29" si="44">SUM(O22:O28)</f>
        <v>15795</v>
      </c>
      <c r="P29" s="214">
        <f t="shared" si="44"/>
        <v>28484.239999999998</v>
      </c>
      <c r="Q29" s="215">
        <f t="shared" si="44"/>
        <v>120182.91</v>
      </c>
      <c r="R29" s="216"/>
      <c r="S29" s="214">
        <f>SUM(S22:S28)</f>
        <v>7851.7960000000003</v>
      </c>
      <c r="T29" s="214">
        <f t="shared" ref="T29:W29" si="45">SUM(T22:T28)</f>
        <v>7901.7960000000003</v>
      </c>
      <c r="U29" s="214">
        <f t="shared" si="45"/>
        <v>15753.592000000001</v>
      </c>
      <c r="V29" s="214">
        <f t="shared" si="45"/>
        <v>142197.60200000001</v>
      </c>
      <c r="W29" s="214">
        <f t="shared" si="45"/>
        <v>44237.832000000002</v>
      </c>
      <c r="X29" s="241">
        <f>SUM(X22:X28)</f>
        <v>262380.51199999999</v>
      </c>
      <c r="Y29" s="217">
        <f t="shared" ref="Y29:AB29" si="46">SUM(Y22:Y28)</f>
        <v>58600</v>
      </c>
      <c r="Z29" s="217">
        <f t="shared" si="46"/>
        <v>0</v>
      </c>
      <c r="AA29" s="241">
        <f t="shared" si="46"/>
        <v>277815</v>
      </c>
      <c r="AB29" s="217">
        <f t="shared" si="46"/>
        <v>15434.487999999976</v>
      </c>
      <c r="AC29" s="214"/>
      <c r="AD29" s="217" t="e">
        <f>SUM(AD22:AD28)</f>
        <v>#REF!</v>
      </c>
      <c r="AE29" s="217" t="e">
        <f>SUM(AE22:AE28)</f>
        <v>#REF!</v>
      </c>
      <c r="AF29" s="218" t="e">
        <f>SUM(AF22:AF28)</f>
        <v>#REF!</v>
      </c>
      <c r="AG29" s="129"/>
      <c r="AH29" s="129"/>
      <c r="AI29" s="244" t="s">
        <v>191</v>
      </c>
      <c r="AJ29" s="81">
        <v>41.2</v>
      </c>
      <c r="AK29">
        <v>25</v>
      </c>
      <c r="AL29" s="82">
        <f t="shared" si="41"/>
        <v>1030</v>
      </c>
      <c r="AM29" s="82">
        <f t="shared" si="42"/>
        <v>49440</v>
      </c>
      <c r="AN29" s="81">
        <v>1.236</v>
      </c>
      <c r="AO29" s="81">
        <v>42.436</v>
      </c>
      <c r="AP29">
        <v>25</v>
      </c>
      <c r="AQ29" s="81">
        <v>1060.9000000000001</v>
      </c>
      <c r="AR29" s="246">
        <v>50923.200000000004</v>
      </c>
    </row>
    <row r="30" spans="1:45" ht="15.75" thickBot="1" x14ac:dyDescent="0.3">
      <c r="A30" s="109"/>
      <c r="B30" s="3"/>
      <c r="C30" s="88"/>
      <c r="D30" s="88"/>
      <c r="E30" s="88"/>
      <c r="F30" s="88"/>
      <c r="G30" s="88"/>
      <c r="H30" s="88"/>
      <c r="I30" s="88"/>
      <c r="J30" s="88"/>
      <c r="K30" s="88"/>
      <c r="L30" s="188"/>
      <c r="M30" s="189"/>
      <c r="N30" s="190"/>
      <c r="O30" s="190"/>
      <c r="P30" s="190"/>
      <c r="Q30" s="191"/>
      <c r="R30" s="192"/>
      <c r="S30" s="190"/>
      <c r="T30" s="190"/>
      <c r="U30" s="190"/>
      <c r="V30" s="190"/>
      <c r="W30" s="190"/>
      <c r="X30" s="239"/>
      <c r="Y30" s="193"/>
      <c r="Z30" s="193"/>
      <c r="AA30" s="239"/>
      <c r="AB30" s="190"/>
      <c r="AC30" s="220"/>
      <c r="AD30" s="193"/>
      <c r="AE30" s="193"/>
      <c r="AF30" s="225"/>
      <c r="AM30" s="245">
        <f>SUM(AM27:AM29)</f>
        <v>134472</v>
      </c>
      <c r="AR30" s="72">
        <f>SUM(AR27:AR29)</f>
        <v>140977.20000000001</v>
      </c>
    </row>
    <row r="31" spans="1:45" ht="27" customHeight="1" thickTop="1" thickBot="1" x14ac:dyDescent="0.35">
      <c r="A31" s="161" t="s">
        <v>62</v>
      </c>
      <c r="B31" s="165" t="s">
        <v>62</v>
      </c>
      <c r="C31" s="152">
        <f>+C19-C29</f>
        <v>-58365.27</v>
      </c>
      <c r="D31" s="152">
        <f t="shared" ref="D31:W31" si="47">+D19-D29</f>
        <v>0</v>
      </c>
      <c r="E31" s="152">
        <f t="shared" si="47"/>
        <v>0</v>
      </c>
      <c r="F31" s="152">
        <f t="shared" si="47"/>
        <v>0</v>
      </c>
      <c r="G31" s="152">
        <f t="shared" si="47"/>
        <v>122981.44</v>
      </c>
      <c r="H31" s="152">
        <f t="shared" si="47"/>
        <v>9.9500000000000455</v>
      </c>
      <c r="I31" s="152">
        <f t="shared" si="47"/>
        <v>-77481.63</v>
      </c>
      <c r="J31" s="152">
        <f t="shared" si="47"/>
        <v>-18240</v>
      </c>
      <c r="K31" s="152">
        <f t="shared" si="47"/>
        <v>33460.89</v>
      </c>
      <c r="L31" s="231">
        <f t="shared" si="47"/>
        <v>-0.38000000000465661</v>
      </c>
      <c r="M31" s="232"/>
      <c r="N31" s="232">
        <f t="shared" si="47"/>
        <v>-9355.9066666666658</v>
      </c>
      <c r="O31" s="232">
        <f t="shared" si="47"/>
        <v>-12461.666666666666</v>
      </c>
      <c r="P31" s="232">
        <f t="shared" si="47"/>
        <v>-21817.57333333333</v>
      </c>
      <c r="Q31" s="233">
        <f t="shared" si="47"/>
        <v>-80182.843333333338</v>
      </c>
      <c r="R31" s="232"/>
      <c r="S31" s="232">
        <f t="shared" si="47"/>
        <v>-5351.7960000000003</v>
      </c>
      <c r="T31" s="232">
        <f t="shared" si="47"/>
        <v>-6401.7960000000003</v>
      </c>
      <c r="U31" s="232">
        <f t="shared" si="47"/>
        <v>-11753.592000000001</v>
      </c>
      <c r="V31" s="232">
        <f t="shared" si="47"/>
        <v>21707.297999999981</v>
      </c>
      <c r="W31" s="232">
        <f t="shared" si="47"/>
        <v>-0.16533333333063638</v>
      </c>
      <c r="X31" s="233">
        <f>+X19-X29</f>
        <v>0.45466666668653488</v>
      </c>
      <c r="Y31" s="232">
        <f t="shared" ref="Y31:AA31" si="48">+Y19-Y29</f>
        <v>128400</v>
      </c>
      <c r="Z31" s="232">
        <f t="shared" si="48"/>
        <v>40000</v>
      </c>
      <c r="AA31" s="233">
        <f t="shared" si="48"/>
        <v>0</v>
      </c>
      <c r="AB31" s="232">
        <f>+AB19+AB29</f>
        <v>0.4546666666319652</v>
      </c>
      <c r="AC31" s="220"/>
      <c r="AD31" s="232" t="e">
        <f>+AD19-AD29</f>
        <v>#REF!</v>
      </c>
      <c r="AE31" s="232" t="e">
        <f>+AE19-AE29</f>
        <v>#REF!</v>
      </c>
      <c r="AF31" s="234" t="e">
        <f>+AF19-AF29</f>
        <v>#REF!</v>
      </c>
      <c r="AR31" s="82">
        <v>1000</v>
      </c>
      <c r="AS31" t="s">
        <v>286</v>
      </c>
    </row>
    <row r="32" spans="1:45" ht="15.75" thickTop="1" x14ac:dyDescent="0.25">
      <c r="B32" s="3"/>
      <c r="C32" s="93"/>
      <c r="D32" s="93"/>
      <c r="E32" s="93"/>
      <c r="F32" s="93"/>
      <c r="G32" s="93"/>
      <c r="H32" s="93"/>
      <c r="I32" s="93"/>
      <c r="J32" s="93"/>
      <c r="K32" s="93"/>
      <c r="L32" s="235"/>
      <c r="M32" s="235"/>
      <c r="N32" s="235"/>
      <c r="O32" s="235"/>
      <c r="P32" s="235"/>
      <c r="Q32" s="236"/>
      <c r="R32" s="235"/>
      <c r="S32" s="235"/>
      <c r="T32" s="235"/>
      <c r="U32" s="235"/>
      <c r="V32" s="235"/>
      <c r="W32" s="235"/>
      <c r="X32" s="223"/>
      <c r="Y32" s="223"/>
      <c r="Z32" s="223"/>
      <c r="AA32" s="223"/>
      <c r="AB32" s="223"/>
      <c r="AC32" s="235"/>
      <c r="AD32" s="235"/>
      <c r="AE32" s="235"/>
      <c r="AF32" s="223"/>
      <c r="AH32" s="72"/>
      <c r="AR32" s="82">
        <f>+AR30*0.1</f>
        <v>14097.720000000001</v>
      </c>
      <c r="AS32" t="s">
        <v>287</v>
      </c>
    </row>
    <row r="33" spans="2:44" ht="15" customHeight="1" thickBot="1" x14ac:dyDescent="0.3">
      <c r="B33" s="131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166"/>
      <c r="R33" s="93"/>
      <c r="S33" s="93"/>
      <c r="T33" s="93"/>
      <c r="U33" s="93"/>
      <c r="V33" s="93"/>
      <c r="W33" s="93"/>
      <c r="X33" s="129"/>
      <c r="Y33" s="129"/>
      <c r="Z33" s="129"/>
      <c r="AC33" s="93"/>
      <c r="AD33" s="93"/>
      <c r="AE33" s="93"/>
      <c r="AF33" s="117" t="s">
        <v>289</v>
      </c>
      <c r="AH33" s="72"/>
      <c r="AR33" s="245">
        <f>SUM(AR30:AR32)</f>
        <v>156074.92000000001</v>
      </c>
    </row>
    <row r="34" spans="2:44" ht="15" customHeight="1" thickTop="1" x14ac:dyDescent="0.25">
      <c r="B34" s="3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28"/>
      <c r="R34" s="107"/>
      <c r="S34" s="107"/>
      <c r="T34" s="107"/>
      <c r="U34" s="107"/>
      <c r="V34" s="107"/>
      <c r="W34" s="107"/>
      <c r="X34" s="129"/>
      <c r="Y34" s="129"/>
      <c r="Z34" s="129"/>
      <c r="AC34" s="107"/>
      <c r="AD34" s="107"/>
      <c r="AE34" s="107"/>
      <c r="AF34" s="247" t="s">
        <v>289</v>
      </c>
      <c r="AG34" s="248">
        <v>1500</v>
      </c>
    </row>
    <row r="35" spans="2:44" ht="15" customHeight="1" x14ac:dyDescent="0.25">
      <c r="B35" s="3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28"/>
      <c r="R35" s="107"/>
      <c r="S35" s="107"/>
      <c r="T35" s="107"/>
      <c r="U35" s="107"/>
      <c r="V35" s="107"/>
      <c r="W35" s="107"/>
      <c r="X35" s="129"/>
      <c r="Y35" s="129"/>
      <c r="Z35" s="129"/>
      <c r="AC35" s="107"/>
      <c r="AD35" s="107"/>
      <c r="AE35" s="107"/>
      <c r="AF35" s="249" t="s">
        <v>290</v>
      </c>
      <c r="AG35" s="250">
        <v>1000</v>
      </c>
    </row>
    <row r="36" spans="2:44" ht="15" customHeight="1" x14ac:dyDescent="0.25">
      <c r="B36" s="3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28"/>
      <c r="R36" s="107"/>
      <c r="S36" s="107"/>
      <c r="T36" s="107"/>
      <c r="U36" s="107"/>
      <c r="V36" s="107"/>
      <c r="W36" s="107"/>
      <c r="X36" s="129"/>
      <c r="Y36" s="129"/>
      <c r="Z36" s="129"/>
      <c r="AC36" s="107"/>
      <c r="AD36" s="107"/>
      <c r="AE36" s="107"/>
      <c r="AF36" s="249" t="s">
        <v>291</v>
      </c>
      <c r="AG36" s="250">
        <v>500</v>
      </c>
    </row>
    <row r="37" spans="2:44" ht="15" customHeight="1" x14ac:dyDescent="0.25">
      <c r="B37" s="3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28"/>
      <c r="R37" s="107"/>
      <c r="S37" s="107"/>
      <c r="T37" s="107"/>
      <c r="U37" s="107"/>
      <c r="V37" s="107"/>
      <c r="W37" s="107"/>
      <c r="X37" s="129"/>
      <c r="Y37" s="129"/>
      <c r="Z37" s="129"/>
      <c r="AC37" s="107"/>
      <c r="AD37" s="107"/>
      <c r="AE37" s="107"/>
      <c r="AF37" s="249" t="s">
        <v>292</v>
      </c>
      <c r="AG37" s="250">
        <v>1000</v>
      </c>
    </row>
    <row r="38" spans="2:44" ht="15" customHeight="1" x14ac:dyDescent="0.25">
      <c r="B38" s="3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28"/>
      <c r="R38" s="107"/>
      <c r="S38" s="107"/>
      <c r="T38" s="107"/>
      <c r="U38" s="107"/>
      <c r="V38" s="107"/>
      <c r="W38" s="107"/>
      <c r="X38" s="129"/>
      <c r="Y38" s="129"/>
      <c r="Z38" s="129"/>
      <c r="AC38" s="107"/>
      <c r="AD38" s="107"/>
      <c r="AE38" s="107"/>
      <c r="AF38" s="249" t="s">
        <v>190</v>
      </c>
      <c r="AG38" s="250">
        <v>1500</v>
      </c>
    </row>
    <row r="39" spans="2:44" ht="15" customHeight="1" x14ac:dyDescent="0.25">
      <c r="B39" s="3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28"/>
      <c r="R39" s="107"/>
      <c r="S39" s="107"/>
      <c r="T39" s="107"/>
      <c r="U39" s="107"/>
      <c r="V39" s="107"/>
      <c r="W39" s="107"/>
      <c r="X39" s="129"/>
      <c r="Y39" s="129"/>
      <c r="Z39" s="129"/>
      <c r="AC39" s="107"/>
      <c r="AD39" s="107"/>
      <c r="AE39" s="107"/>
      <c r="AF39" s="249" t="s">
        <v>293</v>
      </c>
      <c r="AG39" s="250">
        <v>150</v>
      </c>
    </row>
    <row r="40" spans="2:44" ht="34.5" customHeight="1" x14ac:dyDescent="0.25">
      <c r="B40" s="3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28"/>
      <c r="R40" s="107"/>
      <c r="S40" s="107"/>
      <c r="T40" s="107"/>
      <c r="U40" s="107"/>
      <c r="V40" s="107"/>
      <c r="W40" s="107"/>
      <c r="X40" s="129"/>
      <c r="Y40" s="129"/>
      <c r="Z40" s="129"/>
      <c r="AC40" s="107"/>
      <c r="AD40" s="107"/>
      <c r="AE40" s="107"/>
      <c r="AF40" s="251" t="s">
        <v>294</v>
      </c>
      <c r="AG40" s="250">
        <v>1200</v>
      </c>
    </row>
    <row r="41" spans="2:44" ht="15.75" thickBot="1" x14ac:dyDescent="0.3">
      <c r="B41" s="3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28"/>
      <c r="R41" s="107"/>
      <c r="S41" s="107"/>
      <c r="T41" s="107"/>
      <c r="U41" s="107"/>
      <c r="V41" s="107"/>
      <c r="W41" s="107"/>
      <c r="X41" s="129"/>
      <c r="Y41" s="129"/>
      <c r="Z41" s="129"/>
      <c r="AA41" s="129"/>
      <c r="AB41" s="129"/>
      <c r="AC41" s="107"/>
      <c r="AD41" s="107"/>
      <c r="AE41" s="107"/>
      <c r="AF41" s="252"/>
      <c r="AG41" s="253">
        <f>SUM(AG34:AG40)</f>
        <v>6850</v>
      </c>
    </row>
    <row r="42" spans="2:44" ht="15.75" thickBot="1" x14ac:dyDescent="0.3">
      <c r="B42" s="3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28"/>
      <c r="R42" s="107"/>
      <c r="S42" s="107"/>
      <c r="T42" s="107"/>
      <c r="U42" s="107"/>
      <c r="V42" s="107"/>
      <c r="W42" s="107"/>
      <c r="X42" s="129"/>
      <c r="Y42" s="129"/>
      <c r="Z42" s="129"/>
      <c r="AA42" s="129"/>
      <c r="AB42" s="129"/>
      <c r="AC42" s="107"/>
      <c r="AD42" s="107"/>
      <c r="AE42" s="107"/>
      <c r="AF42" s="117" t="s">
        <v>302</v>
      </c>
    </row>
    <row r="43" spans="2:44" x14ac:dyDescent="0.25">
      <c r="B43" s="3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28"/>
      <c r="R43" s="107"/>
      <c r="S43" s="107"/>
      <c r="T43" s="107"/>
      <c r="U43" s="107"/>
      <c r="V43" s="107"/>
      <c r="W43" s="107"/>
      <c r="X43" s="129"/>
      <c r="Y43" s="129"/>
      <c r="Z43" s="129"/>
      <c r="AA43" s="129"/>
      <c r="AB43" s="129"/>
      <c r="AC43" s="107"/>
      <c r="AD43" s="107"/>
      <c r="AE43" s="107"/>
      <c r="AF43" s="254" t="s">
        <v>296</v>
      </c>
      <c r="AG43" s="255">
        <v>5000</v>
      </c>
    </row>
    <row r="44" spans="2:44" x14ac:dyDescent="0.25">
      <c r="B44" s="3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28"/>
      <c r="R44" s="107"/>
      <c r="S44" s="107"/>
      <c r="T44" s="107"/>
      <c r="U44" s="107"/>
      <c r="V44" s="107"/>
      <c r="W44" s="107"/>
      <c r="X44" s="129"/>
      <c r="Y44" s="129"/>
      <c r="Z44" s="129"/>
      <c r="AA44" s="129"/>
      <c r="AB44" s="129"/>
      <c r="AC44" s="107"/>
      <c r="AD44" s="107"/>
      <c r="AE44" s="107"/>
      <c r="AF44" s="256" t="s">
        <v>297</v>
      </c>
      <c r="AG44" s="250">
        <v>100</v>
      </c>
    </row>
    <row r="45" spans="2:44" x14ac:dyDescent="0.25">
      <c r="B45" s="3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28"/>
      <c r="R45" s="107"/>
      <c r="S45" s="107"/>
      <c r="T45" s="107"/>
      <c r="U45" s="107"/>
      <c r="V45" s="107"/>
      <c r="W45" s="107"/>
      <c r="X45" s="129"/>
      <c r="Y45" s="129"/>
      <c r="Z45" s="129"/>
      <c r="AA45" s="129"/>
      <c r="AB45" s="129"/>
      <c r="AC45" s="107"/>
      <c r="AD45" s="107"/>
      <c r="AE45" s="107"/>
      <c r="AF45" s="256" t="s">
        <v>298</v>
      </c>
      <c r="AG45" s="250">
        <v>1200</v>
      </c>
    </row>
    <row r="46" spans="2:44" ht="23.25" x14ac:dyDescent="0.25">
      <c r="B46" s="3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28"/>
      <c r="R46" s="107"/>
      <c r="S46" s="107"/>
      <c r="T46" s="107"/>
      <c r="U46" s="107"/>
      <c r="V46" s="107"/>
      <c r="W46" s="107"/>
      <c r="X46" s="129"/>
      <c r="Y46" s="129"/>
      <c r="Z46" s="129"/>
      <c r="AA46" s="129"/>
      <c r="AB46" s="129"/>
      <c r="AC46" s="107"/>
      <c r="AD46" s="107"/>
      <c r="AE46" s="107"/>
      <c r="AF46" s="256" t="s">
        <v>299</v>
      </c>
      <c r="AG46" s="250">
        <v>6175</v>
      </c>
    </row>
    <row r="47" spans="2:44" x14ac:dyDescent="0.25">
      <c r="B47" s="3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28"/>
      <c r="R47" s="107"/>
      <c r="S47" s="107"/>
      <c r="T47" s="107"/>
      <c r="U47" s="107"/>
      <c r="V47" s="107"/>
      <c r="W47" s="107"/>
      <c r="X47" s="129"/>
      <c r="Y47" s="129"/>
      <c r="Z47" s="129"/>
      <c r="AA47" s="129"/>
      <c r="AB47" s="129"/>
      <c r="AC47" s="107"/>
      <c r="AD47" s="107"/>
      <c r="AE47" s="107"/>
      <c r="AF47" s="256" t="s">
        <v>195</v>
      </c>
      <c r="AG47" s="250">
        <v>0</v>
      </c>
    </row>
    <row r="48" spans="2:44" ht="23.25" x14ac:dyDescent="0.25">
      <c r="B48" s="3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28"/>
      <c r="R48" s="107"/>
      <c r="S48" s="107"/>
      <c r="T48" s="107"/>
      <c r="U48" s="107"/>
      <c r="V48" s="107"/>
      <c r="W48" s="107"/>
      <c r="X48" s="129"/>
      <c r="Y48" s="129"/>
      <c r="Z48" s="129"/>
      <c r="AA48" s="129"/>
      <c r="AB48" s="129"/>
      <c r="AC48" s="107"/>
      <c r="AD48" s="107"/>
      <c r="AE48" s="107"/>
      <c r="AF48" s="256" t="s">
        <v>300</v>
      </c>
      <c r="AG48" s="250">
        <v>0</v>
      </c>
    </row>
    <row r="49" spans="2:33" ht="23.25" x14ac:dyDescent="0.25">
      <c r="B49" s="3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28"/>
      <c r="R49" s="107"/>
      <c r="S49" s="107"/>
      <c r="T49" s="107"/>
      <c r="U49" s="107"/>
      <c r="V49" s="107"/>
      <c r="W49" s="107"/>
      <c r="X49" s="129"/>
      <c r="Y49" s="129"/>
      <c r="Z49" s="129"/>
      <c r="AA49" s="129"/>
      <c r="AB49" s="129"/>
      <c r="AC49" s="107"/>
      <c r="AD49" s="107"/>
      <c r="AE49" s="107"/>
      <c r="AF49" s="256" t="s">
        <v>301</v>
      </c>
      <c r="AG49" s="250">
        <v>5000</v>
      </c>
    </row>
    <row r="50" spans="2:33" x14ac:dyDescent="0.25">
      <c r="B50" s="3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28"/>
      <c r="R50" s="107"/>
      <c r="S50" s="107"/>
      <c r="T50" s="107"/>
      <c r="U50" s="107"/>
      <c r="V50" s="107"/>
      <c r="W50" s="107"/>
      <c r="X50" s="129"/>
      <c r="Y50" s="129"/>
      <c r="Z50" s="129"/>
      <c r="AA50" s="129"/>
      <c r="AB50" s="129"/>
      <c r="AC50" s="107"/>
      <c r="AD50" s="107"/>
      <c r="AE50" s="107"/>
      <c r="AF50" s="256" t="s">
        <v>196</v>
      </c>
      <c r="AG50" s="250">
        <v>50</v>
      </c>
    </row>
    <row r="51" spans="2:33" x14ac:dyDescent="0.25">
      <c r="B51" s="3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28"/>
      <c r="R51" s="107"/>
      <c r="S51" s="107"/>
      <c r="T51" s="107"/>
      <c r="U51" s="107"/>
      <c r="V51" s="107"/>
      <c r="W51" s="107"/>
      <c r="X51" s="129"/>
      <c r="Y51" s="129"/>
      <c r="Z51" s="129"/>
      <c r="AA51" s="129"/>
      <c r="AB51" s="129"/>
      <c r="AC51" s="107"/>
      <c r="AD51" s="107"/>
      <c r="AE51" s="107"/>
      <c r="AF51" s="256" t="s">
        <v>194</v>
      </c>
      <c r="AG51" s="250">
        <v>2000</v>
      </c>
    </row>
    <row r="52" spans="2:33" x14ac:dyDescent="0.25">
      <c r="B52" s="3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28"/>
      <c r="R52" s="107"/>
      <c r="S52" s="107"/>
      <c r="T52" s="107"/>
      <c r="U52" s="107"/>
      <c r="V52" s="107"/>
      <c r="W52" s="107"/>
      <c r="X52" s="129"/>
      <c r="Y52" s="129"/>
      <c r="Z52" s="129"/>
      <c r="AA52" s="129"/>
      <c r="AB52" s="129"/>
      <c r="AC52" s="107"/>
      <c r="AD52" s="107"/>
      <c r="AE52" s="107"/>
      <c r="AF52" s="256" t="s">
        <v>302</v>
      </c>
      <c r="AG52" s="120">
        <v>500</v>
      </c>
    </row>
    <row r="53" spans="2:33" ht="23.25" x14ac:dyDescent="0.25">
      <c r="B53" s="3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28"/>
      <c r="R53" s="107"/>
      <c r="S53" s="107"/>
      <c r="T53" s="107"/>
      <c r="U53" s="107"/>
      <c r="V53" s="107"/>
      <c r="W53" s="107"/>
      <c r="X53" s="129"/>
      <c r="Y53" s="129"/>
      <c r="Z53" s="129"/>
      <c r="AA53" s="129"/>
      <c r="AB53" s="129"/>
      <c r="AC53" s="107"/>
      <c r="AD53" s="107"/>
      <c r="AE53" s="107"/>
      <c r="AF53" s="257" t="s">
        <v>303</v>
      </c>
      <c r="AG53" s="250">
        <v>9000</v>
      </c>
    </row>
    <row r="54" spans="2:33" ht="34.5" x14ac:dyDescent="0.25">
      <c r="B54" s="3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28"/>
      <c r="R54" s="107"/>
      <c r="S54" s="107"/>
      <c r="T54" s="107"/>
      <c r="U54" s="107"/>
      <c r="V54" s="107"/>
      <c r="W54" s="107"/>
      <c r="X54" s="129"/>
      <c r="Y54" s="129"/>
      <c r="Z54" s="129"/>
      <c r="AA54" s="129"/>
      <c r="AB54" s="129"/>
      <c r="AC54" s="107"/>
      <c r="AD54" s="107"/>
      <c r="AE54" s="107"/>
      <c r="AF54" s="257" t="s">
        <v>304</v>
      </c>
      <c r="AG54" s="120">
        <v>150</v>
      </c>
    </row>
    <row r="55" spans="2:33" x14ac:dyDescent="0.25">
      <c r="B55" s="3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28"/>
      <c r="R55" s="107"/>
      <c r="S55" s="107"/>
      <c r="T55" s="107"/>
      <c r="U55" s="107"/>
      <c r="V55" s="107"/>
      <c r="W55" s="107"/>
      <c r="X55" s="129"/>
      <c r="Y55" s="129"/>
      <c r="Z55" s="129"/>
      <c r="AA55" s="129"/>
      <c r="AB55" s="129"/>
      <c r="AC55" s="107"/>
      <c r="AD55" s="107"/>
      <c r="AE55" s="107"/>
      <c r="AF55" s="257" t="s">
        <v>204</v>
      </c>
      <c r="AG55" s="120">
        <v>250</v>
      </c>
    </row>
    <row r="56" spans="2:33" x14ac:dyDescent="0.25">
      <c r="B56" s="3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28"/>
      <c r="R56" s="107"/>
      <c r="S56" s="107"/>
      <c r="T56" s="107"/>
      <c r="U56" s="107"/>
      <c r="V56" s="107"/>
      <c r="W56" s="107"/>
      <c r="X56" s="129"/>
      <c r="Y56" s="129"/>
      <c r="Z56" s="129"/>
      <c r="AA56" s="129"/>
      <c r="AB56" s="129"/>
      <c r="AC56" s="107"/>
      <c r="AD56" s="107"/>
      <c r="AE56" s="107"/>
      <c r="AF56" s="257" t="s">
        <v>305</v>
      </c>
      <c r="AG56" s="120">
        <v>500</v>
      </c>
    </row>
    <row r="57" spans="2:33" ht="23.25" x14ac:dyDescent="0.25">
      <c r="B57" s="3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28"/>
      <c r="R57" s="107"/>
      <c r="S57" s="107"/>
      <c r="T57" s="107"/>
      <c r="U57" s="107"/>
      <c r="V57" s="107"/>
      <c r="W57" s="107"/>
      <c r="X57" s="129"/>
      <c r="Y57" s="129"/>
      <c r="Z57" s="129"/>
      <c r="AA57" s="129"/>
      <c r="AB57" s="129"/>
      <c r="AC57" s="107"/>
      <c r="AD57" s="107"/>
      <c r="AE57" s="107"/>
      <c r="AF57" s="257" t="s">
        <v>306</v>
      </c>
      <c r="AG57" s="120">
        <v>200</v>
      </c>
    </row>
    <row r="58" spans="2:33" ht="15.75" thickBot="1" x14ac:dyDescent="0.3">
      <c r="B58" s="3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28"/>
      <c r="R58" s="107"/>
      <c r="S58" s="107"/>
      <c r="T58" s="107"/>
      <c r="U58" s="107"/>
      <c r="V58" s="107"/>
      <c r="W58" s="107"/>
      <c r="X58" s="129"/>
      <c r="Y58" s="129"/>
      <c r="Z58" s="129"/>
      <c r="AA58" s="129"/>
      <c r="AB58" s="129"/>
      <c r="AC58" s="107"/>
      <c r="AD58" s="107"/>
      <c r="AE58" s="107"/>
      <c r="AF58" s="252"/>
      <c r="AG58" s="258">
        <f>SUM(AG43:AG57)</f>
        <v>30125</v>
      </c>
    </row>
    <row r="59" spans="2:33" x14ac:dyDescent="0.25">
      <c r="B59" s="3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28"/>
      <c r="R59" s="107"/>
      <c r="S59" s="107"/>
      <c r="T59" s="107"/>
      <c r="U59" s="107"/>
      <c r="V59" s="107"/>
      <c r="W59" s="107"/>
      <c r="X59" s="129"/>
      <c r="Y59" s="129"/>
      <c r="Z59" s="129"/>
      <c r="AA59" s="129"/>
      <c r="AB59" s="129"/>
      <c r="AC59" s="107"/>
      <c r="AD59" s="107"/>
      <c r="AE59" s="107"/>
      <c r="AF59" s="129"/>
    </row>
    <row r="60" spans="2:33" x14ac:dyDescent="0.25">
      <c r="B60" s="3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28"/>
      <c r="R60" s="107"/>
      <c r="S60" s="107"/>
      <c r="T60" s="107"/>
      <c r="U60" s="107"/>
      <c r="V60" s="107"/>
      <c r="W60" s="107"/>
      <c r="X60" s="129"/>
      <c r="Y60" s="129"/>
      <c r="Z60" s="129"/>
      <c r="AA60" s="129"/>
      <c r="AB60" s="129"/>
      <c r="AC60" s="107"/>
      <c r="AD60" s="107"/>
      <c r="AE60" s="107"/>
      <c r="AF60" s="129"/>
    </row>
    <row r="61" spans="2:33" x14ac:dyDescent="0.25">
      <c r="B61" s="3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28"/>
      <c r="R61" s="107"/>
      <c r="S61" s="107"/>
      <c r="T61" s="107"/>
      <c r="U61" s="107"/>
      <c r="V61" s="107"/>
      <c r="W61" s="107"/>
      <c r="X61" s="129"/>
      <c r="Y61" s="129"/>
      <c r="Z61" s="129"/>
      <c r="AA61" s="129"/>
      <c r="AB61" s="129"/>
      <c r="AC61" s="107"/>
      <c r="AD61" s="107"/>
      <c r="AE61" s="107"/>
      <c r="AF61" s="129"/>
    </row>
    <row r="62" spans="2:33" x14ac:dyDescent="0.25">
      <c r="B62" s="3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28"/>
      <c r="R62" s="107"/>
      <c r="S62" s="107"/>
      <c r="T62" s="107"/>
      <c r="U62" s="107"/>
      <c r="V62" s="107"/>
      <c r="W62" s="107"/>
      <c r="X62" s="129"/>
      <c r="Y62" s="129"/>
      <c r="Z62" s="129"/>
      <c r="AA62" s="129"/>
      <c r="AB62" s="129"/>
      <c r="AC62" s="107"/>
      <c r="AD62" s="107"/>
      <c r="AE62" s="107"/>
      <c r="AF62" s="129"/>
    </row>
    <row r="63" spans="2:33" x14ac:dyDescent="0.25">
      <c r="B63" s="3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28"/>
      <c r="R63" s="107"/>
      <c r="S63" s="107"/>
      <c r="T63" s="107"/>
      <c r="U63" s="107"/>
      <c r="V63" s="107"/>
      <c r="W63" s="107"/>
      <c r="X63" s="129"/>
      <c r="Y63" s="129"/>
      <c r="Z63" s="129"/>
      <c r="AA63" s="129"/>
      <c r="AB63" s="129"/>
      <c r="AC63" s="107"/>
      <c r="AD63" s="107"/>
      <c r="AE63" s="107"/>
      <c r="AF63" s="129"/>
    </row>
    <row r="64" spans="2:33" x14ac:dyDescent="0.25">
      <c r="B64" s="3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28"/>
      <c r="R64" s="107"/>
      <c r="S64" s="107"/>
      <c r="T64" s="107"/>
      <c r="U64" s="107"/>
      <c r="V64" s="107"/>
      <c r="W64" s="107"/>
      <c r="X64" s="129"/>
      <c r="Y64" s="129"/>
      <c r="Z64" s="129"/>
      <c r="AA64" s="129"/>
      <c r="AB64" s="129"/>
      <c r="AC64" s="107"/>
      <c r="AD64" s="107"/>
      <c r="AE64" s="107"/>
      <c r="AF64" s="129"/>
    </row>
    <row r="65" spans="2:32" x14ac:dyDescent="0.25">
      <c r="B65" s="3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28"/>
      <c r="R65" s="107"/>
      <c r="S65" s="107"/>
      <c r="T65" s="107"/>
      <c r="U65" s="107"/>
      <c r="V65" s="107"/>
      <c r="W65" s="107"/>
      <c r="X65" s="129"/>
      <c r="Y65" s="129"/>
      <c r="Z65" s="129"/>
      <c r="AA65" s="129"/>
      <c r="AB65" s="129"/>
      <c r="AC65" s="107"/>
      <c r="AD65" s="107"/>
      <c r="AE65" s="107"/>
      <c r="AF65" s="129"/>
    </row>
    <row r="66" spans="2:32" x14ac:dyDescent="0.25">
      <c r="B66" s="3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28"/>
      <c r="R66" s="107"/>
      <c r="S66" s="107"/>
      <c r="T66" s="107"/>
      <c r="U66" s="107"/>
      <c r="V66" s="107"/>
      <c r="W66" s="107"/>
      <c r="X66" s="129"/>
      <c r="Y66" s="129"/>
      <c r="Z66" s="129"/>
      <c r="AA66" s="129"/>
      <c r="AB66" s="129"/>
      <c r="AC66" s="107"/>
      <c r="AD66" s="107"/>
      <c r="AE66" s="107"/>
      <c r="AF66" s="129"/>
    </row>
    <row r="67" spans="2:32" x14ac:dyDescent="0.25">
      <c r="B67" s="3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28"/>
      <c r="R67" s="107"/>
      <c r="S67" s="107"/>
      <c r="T67" s="107"/>
      <c r="U67" s="107"/>
      <c r="V67" s="107"/>
      <c r="W67" s="107"/>
      <c r="X67" s="129"/>
      <c r="Y67" s="129"/>
      <c r="Z67" s="129"/>
      <c r="AA67" s="129"/>
      <c r="AB67" s="129"/>
      <c r="AC67" s="107"/>
      <c r="AD67" s="107"/>
      <c r="AE67" s="107"/>
      <c r="AF67" s="129"/>
    </row>
    <row r="68" spans="2:32" x14ac:dyDescent="0.25">
      <c r="B68" s="3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28"/>
      <c r="R68" s="107"/>
      <c r="S68" s="107"/>
      <c r="T68" s="107"/>
      <c r="U68" s="107"/>
      <c r="V68" s="107"/>
      <c r="W68" s="107"/>
      <c r="X68" s="129"/>
      <c r="Y68" s="129"/>
      <c r="Z68" s="129"/>
      <c r="AA68" s="129"/>
      <c r="AB68" s="129"/>
      <c r="AC68" s="107"/>
      <c r="AD68" s="107"/>
      <c r="AE68" s="107"/>
      <c r="AF68" s="129"/>
    </row>
    <row r="69" spans="2:32" x14ac:dyDescent="0.25">
      <c r="B69" s="3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28"/>
      <c r="R69" s="107"/>
      <c r="S69" s="107"/>
      <c r="T69" s="107"/>
      <c r="U69" s="107"/>
      <c r="V69" s="107"/>
      <c r="W69" s="107"/>
      <c r="X69" s="129"/>
      <c r="Y69" s="129"/>
      <c r="Z69" s="129"/>
      <c r="AA69" s="129"/>
      <c r="AB69" s="129"/>
      <c r="AC69" s="107"/>
      <c r="AD69" s="107"/>
      <c r="AE69" s="107"/>
      <c r="AF69" s="129"/>
    </row>
    <row r="70" spans="2:32" x14ac:dyDescent="0.25">
      <c r="B70" s="3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28"/>
      <c r="R70" s="107"/>
      <c r="S70" s="107"/>
      <c r="T70" s="107"/>
      <c r="U70" s="107"/>
      <c r="V70" s="107"/>
      <c r="W70" s="107"/>
      <c r="X70" s="129"/>
      <c r="Y70" s="129"/>
      <c r="Z70" s="129"/>
      <c r="AA70" s="129"/>
      <c r="AB70" s="129"/>
      <c r="AC70" s="107"/>
      <c r="AD70" s="107"/>
      <c r="AE70" s="107"/>
      <c r="AF70" s="129"/>
    </row>
    <row r="71" spans="2:32" x14ac:dyDescent="0.25">
      <c r="B71" s="3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28"/>
      <c r="R71" s="107"/>
      <c r="S71" s="107"/>
      <c r="T71" s="107"/>
      <c r="U71" s="107"/>
      <c r="V71" s="107"/>
      <c r="W71" s="107"/>
      <c r="X71" s="129"/>
      <c r="Y71" s="129"/>
      <c r="Z71" s="129"/>
      <c r="AA71" s="129"/>
      <c r="AB71" s="129"/>
      <c r="AC71" s="107"/>
      <c r="AD71" s="107"/>
      <c r="AE71" s="107"/>
      <c r="AF71" s="129"/>
    </row>
    <row r="72" spans="2:32" x14ac:dyDescent="0.25">
      <c r="B72" s="3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28"/>
      <c r="R72" s="107"/>
      <c r="S72" s="107"/>
      <c r="T72" s="107"/>
      <c r="U72" s="107"/>
      <c r="V72" s="107"/>
      <c r="W72" s="107"/>
      <c r="X72" s="129"/>
      <c r="Y72" s="129"/>
      <c r="Z72" s="129"/>
      <c r="AA72" s="129"/>
      <c r="AB72" s="129"/>
      <c r="AC72" s="107"/>
      <c r="AD72" s="107"/>
      <c r="AE72" s="107"/>
      <c r="AF72" s="129"/>
    </row>
    <row r="73" spans="2:32" x14ac:dyDescent="0.25">
      <c r="B73" s="3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28"/>
      <c r="R73" s="107"/>
      <c r="S73" s="107"/>
      <c r="T73" s="107"/>
      <c r="U73" s="107"/>
      <c r="V73" s="107"/>
      <c r="W73" s="107"/>
      <c r="X73" s="129"/>
      <c r="Y73" s="129"/>
      <c r="Z73" s="129"/>
      <c r="AA73" s="129"/>
      <c r="AB73" s="129"/>
      <c r="AC73" s="107"/>
      <c r="AD73" s="107"/>
      <c r="AE73" s="107"/>
      <c r="AF73" s="129"/>
    </row>
    <row r="74" spans="2:32" x14ac:dyDescent="0.25">
      <c r="B74" s="3"/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28"/>
      <c r="R74" s="107"/>
      <c r="S74" s="107"/>
      <c r="T74" s="107"/>
      <c r="U74" s="107"/>
      <c r="V74" s="107"/>
      <c r="W74" s="107"/>
      <c r="X74" s="129"/>
      <c r="Y74" s="129"/>
      <c r="Z74" s="129"/>
      <c r="AA74" s="129"/>
      <c r="AB74" s="129"/>
      <c r="AC74" s="107"/>
      <c r="AD74" s="107"/>
      <c r="AE74" s="107"/>
      <c r="AF74" s="129"/>
    </row>
    <row r="75" spans="2:32" x14ac:dyDescent="0.25">
      <c r="B75" s="3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28"/>
      <c r="R75" s="107"/>
      <c r="S75" s="107"/>
      <c r="T75" s="107"/>
      <c r="U75" s="107"/>
      <c r="V75" s="107"/>
      <c r="W75" s="107"/>
      <c r="X75" s="129"/>
      <c r="Y75" s="129"/>
      <c r="Z75" s="129"/>
      <c r="AA75" s="129"/>
      <c r="AB75" s="129"/>
      <c r="AC75" s="107"/>
      <c r="AD75" s="107"/>
      <c r="AE75" s="107"/>
      <c r="AF75" s="129"/>
    </row>
    <row r="76" spans="2:32" x14ac:dyDescent="0.25">
      <c r="B76" s="3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28"/>
      <c r="R76" s="107"/>
      <c r="S76" s="107"/>
      <c r="T76" s="107"/>
      <c r="U76" s="107"/>
      <c r="V76" s="107"/>
      <c r="W76" s="107"/>
      <c r="X76" s="129"/>
      <c r="Y76" s="129"/>
      <c r="Z76" s="129"/>
      <c r="AA76" s="129"/>
      <c r="AB76" s="129"/>
      <c r="AC76" s="107"/>
      <c r="AD76" s="107"/>
      <c r="AE76" s="107"/>
      <c r="AF76" s="129"/>
    </row>
    <row r="77" spans="2:32" x14ac:dyDescent="0.25">
      <c r="B77" s="3"/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28"/>
      <c r="R77" s="107"/>
      <c r="S77" s="107"/>
      <c r="T77" s="107"/>
      <c r="U77" s="107"/>
      <c r="V77" s="107"/>
      <c r="W77" s="107"/>
      <c r="X77" s="129"/>
      <c r="Y77" s="129"/>
      <c r="Z77" s="129"/>
      <c r="AA77" s="129"/>
      <c r="AB77" s="129"/>
      <c r="AC77" s="107"/>
      <c r="AD77" s="107"/>
      <c r="AE77" s="107"/>
      <c r="AF77" s="129"/>
    </row>
    <row r="78" spans="2:32" x14ac:dyDescent="0.25">
      <c r="B78" s="3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28"/>
      <c r="R78" s="107"/>
      <c r="S78" s="107"/>
      <c r="T78" s="107"/>
      <c r="U78" s="107"/>
      <c r="V78" s="107"/>
      <c r="W78" s="107"/>
      <c r="X78" s="129"/>
      <c r="Y78" s="129"/>
      <c r="Z78" s="129"/>
      <c r="AA78" s="129"/>
      <c r="AB78" s="129"/>
      <c r="AC78" s="107"/>
      <c r="AD78" s="107"/>
      <c r="AE78" s="107"/>
      <c r="AF78" s="129"/>
    </row>
    <row r="79" spans="2:32" x14ac:dyDescent="0.25">
      <c r="B79" s="3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28"/>
      <c r="R79" s="107"/>
      <c r="S79" s="107"/>
      <c r="T79" s="107"/>
      <c r="U79" s="107"/>
      <c r="V79" s="107"/>
      <c r="W79" s="107"/>
      <c r="X79" s="129"/>
      <c r="Y79" s="129"/>
      <c r="Z79" s="129"/>
      <c r="AA79" s="129"/>
      <c r="AB79" s="129"/>
      <c r="AC79" s="107"/>
      <c r="AD79" s="107"/>
      <c r="AE79" s="107"/>
      <c r="AF79" s="129"/>
    </row>
    <row r="80" spans="2:32" x14ac:dyDescent="0.25">
      <c r="B80" s="3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28"/>
      <c r="R80" s="107"/>
      <c r="S80" s="107"/>
      <c r="T80" s="107"/>
      <c r="U80" s="107"/>
      <c r="V80" s="107"/>
      <c r="W80" s="107"/>
      <c r="X80" s="129"/>
      <c r="Y80" s="129"/>
      <c r="Z80" s="129"/>
      <c r="AA80" s="129"/>
      <c r="AB80" s="129"/>
      <c r="AC80" s="107"/>
      <c r="AD80" s="107"/>
      <c r="AE80" s="107"/>
      <c r="AF80" s="129"/>
    </row>
    <row r="81" spans="2:32" x14ac:dyDescent="0.25">
      <c r="B81" s="3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28"/>
      <c r="R81" s="107"/>
      <c r="S81" s="107"/>
      <c r="T81" s="107"/>
      <c r="U81" s="107"/>
      <c r="V81" s="107"/>
      <c r="W81" s="107"/>
      <c r="X81" s="129"/>
      <c r="Y81" s="129"/>
      <c r="Z81" s="129"/>
      <c r="AA81" s="129"/>
      <c r="AB81" s="129"/>
      <c r="AC81" s="107"/>
      <c r="AD81" s="107"/>
      <c r="AE81" s="107"/>
      <c r="AF81" s="129"/>
    </row>
    <row r="82" spans="2:32" x14ac:dyDescent="0.25">
      <c r="B82" s="3"/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28"/>
      <c r="R82" s="107"/>
      <c r="S82" s="107"/>
      <c r="T82" s="107"/>
      <c r="U82" s="107"/>
      <c r="V82" s="107"/>
      <c r="W82" s="107"/>
      <c r="X82" s="129"/>
      <c r="Y82" s="129"/>
      <c r="Z82" s="129"/>
      <c r="AA82" s="129"/>
      <c r="AB82" s="129"/>
      <c r="AC82" s="107"/>
      <c r="AD82" s="107"/>
      <c r="AE82" s="107"/>
      <c r="AF82" s="129"/>
    </row>
    <row r="83" spans="2:32" x14ac:dyDescent="0.25">
      <c r="B83" s="3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28"/>
      <c r="R83" s="107"/>
      <c r="S83" s="107"/>
      <c r="T83" s="107"/>
      <c r="U83" s="107"/>
      <c r="V83" s="107"/>
      <c r="W83" s="107"/>
      <c r="X83" s="129"/>
      <c r="Y83" s="129"/>
      <c r="Z83" s="129"/>
      <c r="AA83" s="129"/>
      <c r="AB83" s="129"/>
      <c r="AC83" s="107"/>
      <c r="AD83" s="107"/>
      <c r="AE83" s="107"/>
      <c r="AF83" s="129"/>
    </row>
    <row r="84" spans="2:32" x14ac:dyDescent="0.25">
      <c r="B84" s="3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28"/>
      <c r="R84" s="107"/>
      <c r="S84" s="107"/>
      <c r="T84" s="107"/>
      <c r="U84" s="107"/>
      <c r="V84" s="107"/>
      <c r="W84" s="107"/>
      <c r="X84" s="129"/>
      <c r="Y84" s="129"/>
      <c r="Z84" s="129"/>
      <c r="AA84" s="129"/>
      <c r="AB84" s="129"/>
      <c r="AC84" s="107"/>
      <c r="AD84" s="107"/>
      <c r="AE84" s="107"/>
      <c r="AF84" s="129"/>
    </row>
    <row r="85" spans="2:32" x14ac:dyDescent="0.25">
      <c r="B85" s="3"/>
      <c r="C85" s="107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28"/>
      <c r="R85" s="107"/>
      <c r="S85" s="107"/>
      <c r="T85" s="107"/>
      <c r="U85" s="107"/>
      <c r="V85" s="107"/>
      <c r="W85" s="107"/>
      <c r="X85" s="129"/>
      <c r="Y85" s="129"/>
      <c r="Z85" s="129"/>
      <c r="AA85" s="129"/>
      <c r="AB85" s="129"/>
      <c r="AC85" s="107"/>
      <c r="AD85" s="107"/>
      <c r="AE85" s="107"/>
      <c r="AF85" s="129"/>
    </row>
    <row r="86" spans="2:32" x14ac:dyDescent="0.25">
      <c r="B86" s="3"/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28"/>
      <c r="R86" s="107"/>
      <c r="S86" s="107"/>
      <c r="T86" s="107"/>
      <c r="U86" s="107"/>
      <c r="V86" s="107"/>
      <c r="W86" s="107"/>
      <c r="X86" s="129"/>
      <c r="Y86" s="129"/>
      <c r="Z86" s="129"/>
      <c r="AA86" s="129"/>
      <c r="AB86" s="129"/>
      <c r="AC86" s="107"/>
      <c r="AD86" s="107"/>
      <c r="AE86" s="107"/>
      <c r="AF86" s="129"/>
    </row>
    <row r="87" spans="2:32" x14ac:dyDescent="0.25">
      <c r="B87" s="3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28"/>
      <c r="R87" s="107"/>
      <c r="S87" s="107"/>
      <c r="T87" s="107"/>
      <c r="U87" s="107"/>
      <c r="V87" s="107"/>
      <c r="W87" s="107"/>
      <c r="X87" s="129"/>
      <c r="Y87" s="129"/>
      <c r="Z87" s="129"/>
      <c r="AA87" s="129"/>
      <c r="AB87" s="129"/>
      <c r="AC87" s="107"/>
      <c r="AD87" s="107"/>
      <c r="AE87" s="107"/>
      <c r="AF87" s="129"/>
    </row>
    <row r="88" spans="2:32" x14ac:dyDescent="0.25">
      <c r="B88" s="3"/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28"/>
      <c r="R88" s="107"/>
      <c r="S88" s="107"/>
      <c r="T88" s="107"/>
      <c r="U88" s="107"/>
      <c r="V88" s="107"/>
      <c r="W88" s="107"/>
      <c r="X88" s="129"/>
      <c r="Y88" s="129"/>
      <c r="Z88" s="129"/>
      <c r="AA88" s="129"/>
      <c r="AB88" s="129"/>
      <c r="AC88" s="107"/>
      <c r="AD88" s="107"/>
      <c r="AE88" s="107"/>
      <c r="AF88" s="129"/>
    </row>
    <row r="89" spans="2:32" x14ac:dyDescent="0.25">
      <c r="B89" s="3"/>
      <c r="C89" s="107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28"/>
      <c r="R89" s="107"/>
      <c r="S89" s="107"/>
      <c r="T89" s="107"/>
      <c r="U89" s="107"/>
      <c r="V89" s="107"/>
      <c r="W89" s="107"/>
      <c r="X89" s="129"/>
      <c r="Y89" s="129"/>
      <c r="Z89" s="129"/>
      <c r="AA89" s="129"/>
      <c r="AB89" s="129"/>
      <c r="AC89" s="107"/>
      <c r="AD89" s="107"/>
      <c r="AE89" s="107"/>
      <c r="AF89" s="129"/>
    </row>
    <row r="90" spans="2:32" x14ac:dyDescent="0.25">
      <c r="B90" s="3"/>
      <c r="C90" s="107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28"/>
      <c r="R90" s="107"/>
      <c r="S90" s="107"/>
      <c r="T90" s="107"/>
      <c r="U90" s="107"/>
      <c r="V90" s="107"/>
      <c r="W90" s="107"/>
      <c r="X90" s="129"/>
      <c r="Y90" s="129"/>
      <c r="Z90" s="129"/>
      <c r="AA90" s="129"/>
      <c r="AB90" s="129"/>
      <c r="AC90" s="107"/>
      <c r="AD90" s="107"/>
      <c r="AE90" s="107"/>
      <c r="AF90" s="129"/>
    </row>
    <row r="91" spans="2:32" x14ac:dyDescent="0.25">
      <c r="B91" s="3"/>
      <c r="C91" s="107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28"/>
      <c r="R91" s="107"/>
      <c r="S91" s="107"/>
      <c r="T91" s="107"/>
      <c r="U91" s="107"/>
      <c r="V91" s="107"/>
      <c r="W91" s="107"/>
      <c r="X91" s="129"/>
      <c r="Y91" s="129"/>
      <c r="Z91" s="129"/>
      <c r="AA91" s="129"/>
      <c r="AB91" s="129"/>
      <c r="AC91" s="107"/>
      <c r="AD91" s="107"/>
      <c r="AE91" s="107"/>
      <c r="AF91" s="129"/>
    </row>
    <row r="92" spans="2:32" x14ac:dyDescent="0.25">
      <c r="B92" s="3"/>
      <c r="C92" s="10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28"/>
      <c r="R92" s="107"/>
      <c r="S92" s="107"/>
      <c r="T92" s="107"/>
      <c r="U92" s="107"/>
      <c r="V92" s="107"/>
      <c r="W92" s="107"/>
      <c r="X92" s="129"/>
      <c r="Y92" s="129"/>
      <c r="Z92" s="129"/>
      <c r="AA92" s="129"/>
      <c r="AB92" s="129"/>
      <c r="AC92" s="107"/>
      <c r="AD92" s="107"/>
      <c r="AE92" s="107"/>
      <c r="AF92" s="129"/>
    </row>
    <row r="93" spans="2:32" x14ac:dyDescent="0.25">
      <c r="B93" s="3"/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28"/>
      <c r="R93" s="107"/>
      <c r="S93" s="107"/>
      <c r="T93" s="107"/>
      <c r="U93" s="107"/>
      <c r="V93" s="107"/>
      <c r="W93" s="107"/>
      <c r="X93" s="129"/>
      <c r="Y93" s="129"/>
      <c r="Z93" s="129"/>
      <c r="AA93" s="129"/>
      <c r="AB93" s="129"/>
      <c r="AC93" s="107"/>
      <c r="AD93" s="107"/>
      <c r="AE93" s="107"/>
      <c r="AF93" s="129"/>
    </row>
    <row r="94" spans="2:32" x14ac:dyDescent="0.25">
      <c r="B94" s="3"/>
      <c r="C94" s="107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28"/>
      <c r="R94" s="107"/>
      <c r="S94" s="107"/>
      <c r="T94" s="107"/>
      <c r="U94" s="107"/>
      <c r="V94" s="107"/>
      <c r="W94" s="107"/>
      <c r="X94" s="129"/>
      <c r="Y94" s="129"/>
      <c r="Z94" s="129"/>
      <c r="AA94" s="129"/>
      <c r="AB94" s="129"/>
      <c r="AC94" s="107"/>
      <c r="AD94" s="107"/>
      <c r="AE94" s="107"/>
      <c r="AF94" s="129"/>
    </row>
    <row r="95" spans="2:32" x14ac:dyDescent="0.25">
      <c r="B95" s="3"/>
      <c r="C95" s="107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28"/>
      <c r="R95" s="107"/>
      <c r="S95" s="107"/>
      <c r="T95" s="107"/>
      <c r="U95" s="107"/>
      <c r="V95" s="107"/>
      <c r="W95" s="107"/>
      <c r="X95" s="129"/>
      <c r="Y95" s="129"/>
      <c r="Z95" s="129"/>
      <c r="AA95" s="129"/>
      <c r="AB95" s="129"/>
      <c r="AC95" s="107"/>
      <c r="AD95" s="107"/>
      <c r="AE95" s="107"/>
      <c r="AF95" s="129"/>
    </row>
    <row r="96" spans="2:32" x14ac:dyDescent="0.25">
      <c r="B96" s="3"/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28"/>
      <c r="R96" s="107"/>
      <c r="S96" s="107"/>
      <c r="T96" s="107"/>
      <c r="U96" s="107"/>
      <c r="V96" s="107"/>
      <c r="W96" s="107"/>
      <c r="X96" s="129"/>
      <c r="Y96" s="129"/>
      <c r="Z96" s="129"/>
      <c r="AA96" s="129"/>
      <c r="AB96" s="129"/>
      <c r="AC96" s="107"/>
      <c r="AD96" s="107"/>
      <c r="AE96" s="107"/>
      <c r="AF96" s="129"/>
    </row>
    <row r="97" spans="2:32" x14ac:dyDescent="0.25">
      <c r="B97" s="3"/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28"/>
      <c r="R97" s="107"/>
      <c r="S97" s="107"/>
      <c r="T97" s="107"/>
      <c r="U97" s="107"/>
      <c r="V97" s="107"/>
      <c r="W97" s="107"/>
      <c r="X97" s="129"/>
      <c r="Y97" s="129"/>
      <c r="Z97" s="129"/>
      <c r="AA97" s="129"/>
      <c r="AB97" s="129"/>
      <c r="AC97" s="107"/>
      <c r="AD97" s="107"/>
      <c r="AE97" s="107"/>
      <c r="AF97" s="129"/>
    </row>
    <row r="98" spans="2:32" x14ac:dyDescent="0.25">
      <c r="B98" s="3"/>
      <c r="C98" s="107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28"/>
      <c r="R98" s="107"/>
      <c r="S98" s="107"/>
      <c r="T98" s="107"/>
      <c r="U98" s="107"/>
      <c r="V98" s="107"/>
      <c r="W98" s="107"/>
      <c r="X98" s="129"/>
      <c r="Y98" s="129"/>
      <c r="Z98" s="129"/>
      <c r="AA98" s="129"/>
      <c r="AB98" s="129"/>
      <c r="AC98" s="107"/>
      <c r="AD98" s="107"/>
      <c r="AE98" s="107"/>
      <c r="AF98" s="129"/>
    </row>
    <row r="99" spans="2:32" x14ac:dyDescent="0.25">
      <c r="B99" s="3"/>
      <c r="C99" s="107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28"/>
      <c r="R99" s="107"/>
      <c r="S99" s="107"/>
      <c r="T99" s="107"/>
      <c r="U99" s="107"/>
      <c r="V99" s="107"/>
      <c r="W99" s="107"/>
      <c r="X99" s="129"/>
      <c r="Y99" s="129"/>
      <c r="Z99" s="129"/>
      <c r="AA99" s="129"/>
      <c r="AB99" s="129"/>
      <c r="AC99" s="107"/>
      <c r="AD99" s="107"/>
      <c r="AE99" s="107"/>
      <c r="AF99" s="129"/>
    </row>
    <row r="100" spans="2:32" x14ac:dyDescent="0.25">
      <c r="B100" s="3"/>
      <c r="C100" s="107"/>
      <c r="D100" s="107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/>
      <c r="O100" s="107"/>
      <c r="P100" s="107"/>
      <c r="Q100" s="128"/>
      <c r="R100" s="107"/>
      <c r="S100" s="107"/>
      <c r="T100" s="107"/>
      <c r="U100" s="107"/>
      <c r="V100" s="107"/>
      <c r="W100" s="107"/>
      <c r="X100" s="129"/>
      <c r="Y100" s="129"/>
      <c r="Z100" s="129"/>
      <c r="AA100" s="129"/>
      <c r="AB100" s="129"/>
      <c r="AC100" s="107"/>
      <c r="AD100" s="107"/>
      <c r="AE100" s="107"/>
      <c r="AF100" s="129"/>
    </row>
    <row r="101" spans="2:32" x14ac:dyDescent="0.25">
      <c r="B101" s="3"/>
      <c r="C101" s="107"/>
      <c r="D101" s="107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28"/>
      <c r="R101" s="107"/>
      <c r="S101" s="107"/>
      <c r="T101" s="107"/>
      <c r="U101" s="107"/>
      <c r="V101" s="107"/>
      <c r="W101" s="107"/>
      <c r="X101" s="129"/>
      <c r="Y101" s="129"/>
      <c r="Z101" s="129"/>
      <c r="AA101" s="129"/>
      <c r="AB101" s="129"/>
      <c r="AC101" s="107"/>
      <c r="AD101" s="107"/>
      <c r="AE101" s="107"/>
      <c r="AF101" s="129"/>
    </row>
    <row r="102" spans="2:32" x14ac:dyDescent="0.25">
      <c r="B102" s="3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28"/>
      <c r="R102" s="107"/>
      <c r="S102" s="107"/>
      <c r="T102" s="107"/>
      <c r="U102" s="107"/>
      <c r="V102" s="107"/>
      <c r="W102" s="107"/>
      <c r="X102" s="129"/>
      <c r="Y102" s="129"/>
      <c r="Z102" s="129"/>
      <c r="AA102" s="129"/>
      <c r="AB102" s="129"/>
      <c r="AC102" s="107"/>
      <c r="AD102" s="107"/>
      <c r="AE102" s="107"/>
      <c r="AF102" s="129"/>
    </row>
    <row r="103" spans="2:32" x14ac:dyDescent="0.25">
      <c r="B103" s="3"/>
      <c r="C103" s="107"/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28"/>
      <c r="R103" s="107"/>
      <c r="S103" s="107"/>
      <c r="T103" s="107"/>
      <c r="U103" s="107"/>
      <c r="V103" s="107"/>
      <c r="W103" s="107"/>
      <c r="X103" s="129"/>
      <c r="Y103" s="129"/>
      <c r="Z103" s="129"/>
      <c r="AA103" s="129"/>
      <c r="AB103" s="129"/>
      <c r="AC103" s="107"/>
      <c r="AD103" s="107"/>
      <c r="AE103" s="107"/>
      <c r="AF103" s="129"/>
    </row>
    <row r="104" spans="2:32" x14ac:dyDescent="0.25">
      <c r="B104" s="3"/>
      <c r="C104" s="107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28"/>
      <c r="R104" s="107"/>
      <c r="S104" s="107"/>
      <c r="T104" s="107"/>
      <c r="U104" s="107"/>
      <c r="V104" s="107"/>
      <c r="W104" s="107"/>
      <c r="X104" s="129"/>
      <c r="Y104" s="129"/>
      <c r="Z104" s="129"/>
      <c r="AA104" s="129"/>
      <c r="AB104" s="129"/>
      <c r="AC104" s="107"/>
      <c r="AD104" s="107"/>
      <c r="AE104" s="107"/>
      <c r="AF104" s="129"/>
    </row>
    <row r="105" spans="2:32" x14ac:dyDescent="0.25">
      <c r="B105" s="3"/>
      <c r="C105" s="107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28"/>
      <c r="R105" s="107"/>
      <c r="S105" s="107"/>
      <c r="T105" s="107"/>
      <c r="U105" s="107"/>
      <c r="V105" s="107"/>
      <c r="W105" s="107"/>
      <c r="X105" s="129"/>
      <c r="Y105" s="129"/>
      <c r="Z105" s="129"/>
      <c r="AA105" s="129"/>
      <c r="AB105" s="129"/>
      <c r="AC105" s="107"/>
      <c r="AD105" s="107"/>
      <c r="AE105" s="107"/>
      <c r="AF105" s="129"/>
    </row>
    <row r="106" spans="2:32" x14ac:dyDescent="0.25">
      <c r="B106" s="3"/>
      <c r="C106" s="107"/>
      <c r="D106" s="107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  <c r="Q106" s="128"/>
      <c r="R106" s="107"/>
      <c r="S106" s="107"/>
      <c r="T106" s="107"/>
      <c r="U106" s="107"/>
      <c r="V106" s="107"/>
      <c r="W106" s="107"/>
      <c r="X106" s="129"/>
      <c r="Y106" s="129"/>
      <c r="Z106" s="129"/>
      <c r="AA106" s="129"/>
      <c r="AB106" s="129"/>
      <c r="AC106" s="107"/>
      <c r="AD106" s="107"/>
      <c r="AE106" s="107"/>
      <c r="AF106" s="129"/>
    </row>
    <row r="107" spans="2:32" x14ac:dyDescent="0.25">
      <c r="B107" s="3"/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28"/>
      <c r="R107" s="107"/>
      <c r="S107" s="107"/>
      <c r="T107" s="107"/>
      <c r="U107" s="107"/>
      <c r="V107" s="107"/>
      <c r="W107" s="107"/>
      <c r="X107" s="129"/>
      <c r="Y107" s="129"/>
      <c r="Z107" s="129"/>
      <c r="AA107" s="129"/>
      <c r="AB107" s="129"/>
      <c r="AC107" s="107"/>
      <c r="AD107" s="107"/>
      <c r="AE107" s="107"/>
      <c r="AF107" s="129"/>
    </row>
    <row r="108" spans="2:32" x14ac:dyDescent="0.25">
      <c r="B108" s="3"/>
      <c r="C108" s="107"/>
      <c r="D108" s="107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28"/>
      <c r="R108" s="107"/>
      <c r="S108" s="107"/>
      <c r="T108" s="107"/>
      <c r="U108" s="107"/>
      <c r="V108" s="107"/>
      <c r="W108" s="107"/>
      <c r="X108" s="129"/>
      <c r="Y108" s="129"/>
      <c r="Z108" s="129"/>
      <c r="AA108" s="129"/>
      <c r="AB108" s="129"/>
      <c r="AC108" s="107"/>
      <c r="AD108" s="107"/>
      <c r="AE108" s="107"/>
      <c r="AF108" s="129"/>
    </row>
    <row r="109" spans="2:32" x14ac:dyDescent="0.25">
      <c r="B109" s="3"/>
      <c r="C109" s="107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28"/>
      <c r="R109" s="107"/>
      <c r="S109" s="107"/>
      <c r="T109" s="107"/>
      <c r="U109" s="107"/>
      <c r="V109" s="107"/>
      <c r="W109" s="107"/>
      <c r="X109" s="129"/>
      <c r="Y109" s="129"/>
      <c r="Z109" s="129"/>
      <c r="AA109" s="129"/>
      <c r="AB109" s="129"/>
      <c r="AC109" s="107"/>
      <c r="AD109" s="107"/>
      <c r="AE109" s="107"/>
      <c r="AF109" s="129"/>
    </row>
    <row r="110" spans="2:32" x14ac:dyDescent="0.25">
      <c r="B110" s="3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28"/>
      <c r="R110" s="107"/>
      <c r="S110" s="107"/>
      <c r="T110" s="107"/>
      <c r="U110" s="107"/>
      <c r="V110" s="107"/>
      <c r="W110" s="107"/>
      <c r="X110" s="129"/>
      <c r="Y110" s="129"/>
      <c r="Z110" s="129"/>
      <c r="AA110" s="129"/>
      <c r="AB110" s="129"/>
      <c r="AC110" s="107"/>
      <c r="AD110" s="107"/>
      <c r="AE110" s="107"/>
      <c r="AF110" s="129"/>
    </row>
    <row r="111" spans="2:32" x14ac:dyDescent="0.25">
      <c r="B111" s="3"/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28"/>
      <c r="R111" s="107"/>
      <c r="S111" s="107"/>
      <c r="T111" s="107"/>
      <c r="U111" s="107"/>
      <c r="V111" s="107"/>
      <c r="W111" s="107"/>
      <c r="X111" s="129"/>
      <c r="Y111" s="129"/>
      <c r="Z111" s="129"/>
      <c r="AA111" s="129"/>
      <c r="AB111" s="129"/>
      <c r="AC111" s="107"/>
      <c r="AD111" s="107"/>
      <c r="AE111" s="107"/>
      <c r="AF111" s="129"/>
    </row>
    <row r="112" spans="2:32" x14ac:dyDescent="0.25">
      <c r="B112" s="3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28"/>
      <c r="R112" s="107"/>
      <c r="S112" s="107"/>
      <c r="T112" s="107"/>
      <c r="U112" s="107"/>
      <c r="V112" s="107"/>
      <c r="W112" s="107"/>
      <c r="X112" s="129"/>
      <c r="Y112" s="129"/>
      <c r="Z112" s="129"/>
      <c r="AA112" s="129"/>
      <c r="AB112" s="129"/>
      <c r="AC112" s="107"/>
      <c r="AD112" s="107"/>
      <c r="AE112" s="107"/>
      <c r="AF112" s="129"/>
    </row>
    <row r="113" spans="2:32" x14ac:dyDescent="0.25">
      <c r="B113" s="3"/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28"/>
      <c r="R113" s="107"/>
      <c r="S113" s="107"/>
      <c r="T113" s="107"/>
      <c r="U113" s="107"/>
      <c r="V113" s="107"/>
      <c r="W113" s="107"/>
      <c r="X113" s="129"/>
      <c r="Y113" s="129"/>
      <c r="Z113" s="129"/>
      <c r="AA113" s="129"/>
      <c r="AB113" s="129"/>
      <c r="AC113" s="107"/>
      <c r="AD113" s="107"/>
      <c r="AE113" s="107"/>
      <c r="AF113" s="129"/>
    </row>
    <row r="114" spans="2:32" x14ac:dyDescent="0.25">
      <c r="B114" s="3"/>
      <c r="C114" s="107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  <c r="Q114" s="128"/>
      <c r="R114" s="107"/>
      <c r="S114" s="107"/>
      <c r="T114" s="107"/>
      <c r="U114" s="107"/>
      <c r="V114" s="107"/>
      <c r="W114" s="107"/>
      <c r="X114" s="129"/>
      <c r="Y114" s="129"/>
      <c r="Z114" s="129"/>
      <c r="AA114" s="129"/>
      <c r="AB114" s="129"/>
      <c r="AC114" s="107"/>
      <c r="AD114" s="107"/>
      <c r="AE114" s="107"/>
      <c r="AF114" s="129"/>
    </row>
    <row r="115" spans="2:32" x14ac:dyDescent="0.25">
      <c r="B115" s="3"/>
      <c r="C115" s="107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  <c r="Q115" s="128"/>
      <c r="R115" s="107"/>
      <c r="S115" s="107"/>
      <c r="T115" s="107"/>
      <c r="U115" s="107"/>
      <c r="V115" s="107"/>
      <c r="W115" s="107"/>
      <c r="X115" s="129"/>
      <c r="Y115" s="129"/>
      <c r="Z115" s="129"/>
      <c r="AA115" s="129"/>
      <c r="AB115" s="129"/>
      <c r="AC115" s="107"/>
      <c r="AD115" s="107"/>
      <c r="AE115" s="107"/>
      <c r="AF115" s="129"/>
    </row>
    <row r="116" spans="2:32" x14ac:dyDescent="0.25">
      <c r="B116" s="3"/>
      <c r="C116" s="107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28"/>
      <c r="R116" s="107"/>
      <c r="S116" s="107"/>
      <c r="T116" s="107"/>
      <c r="U116" s="107"/>
      <c r="V116" s="107"/>
      <c r="W116" s="107"/>
      <c r="X116" s="129"/>
      <c r="Y116" s="129"/>
      <c r="Z116" s="129"/>
      <c r="AA116" s="129"/>
      <c r="AB116" s="129"/>
      <c r="AC116" s="107"/>
      <c r="AD116" s="107"/>
      <c r="AE116" s="107"/>
      <c r="AF116" s="129"/>
    </row>
    <row r="117" spans="2:32" x14ac:dyDescent="0.25">
      <c r="B117" s="3"/>
      <c r="C117" s="107"/>
      <c r="D117" s="107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  <c r="Q117" s="128"/>
      <c r="R117" s="107"/>
      <c r="S117" s="107"/>
      <c r="T117" s="107"/>
      <c r="U117" s="107"/>
      <c r="V117" s="107"/>
      <c r="W117" s="107"/>
      <c r="X117" s="129"/>
      <c r="Y117" s="129"/>
      <c r="Z117" s="129"/>
      <c r="AA117" s="129"/>
      <c r="AB117" s="129"/>
      <c r="AC117" s="107"/>
      <c r="AD117" s="107"/>
      <c r="AE117" s="107"/>
      <c r="AF117" s="129"/>
    </row>
    <row r="118" spans="2:32" x14ac:dyDescent="0.25">
      <c r="B118" s="3"/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28"/>
      <c r="R118" s="107"/>
      <c r="S118" s="107"/>
      <c r="T118" s="107"/>
      <c r="U118" s="107"/>
      <c r="V118" s="107"/>
      <c r="W118" s="107"/>
      <c r="X118" s="129"/>
      <c r="Y118" s="129"/>
      <c r="Z118" s="129"/>
      <c r="AA118" s="129"/>
      <c r="AB118" s="129"/>
      <c r="AC118" s="107"/>
      <c r="AD118" s="107"/>
      <c r="AE118" s="107"/>
      <c r="AF118" s="129"/>
    </row>
    <row r="119" spans="2:32" x14ac:dyDescent="0.25">
      <c r="B119" s="3"/>
      <c r="C119" s="107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28"/>
      <c r="R119" s="107"/>
      <c r="S119" s="107"/>
      <c r="T119" s="107"/>
      <c r="U119" s="107"/>
      <c r="V119" s="107"/>
      <c r="W119" s="107"/>
      <c r="X119" s="129"/>
      <c r="Y119" s="129"/>
      <c r="Z119" s="129"/>
      <c r="AA119" s="129"/>
      <c r="AB119" s="129"/>
      <c r="AC119" s="107"/>
      <c r="AD119" s="107"/>
      <c r="AE119" s="107"/>
      <c r="AF119" s="129"/>
    </row>
    <row r="120" spans="2:32" x14ac:dyDescent="0.25">
      <c r="B120" s="3"/>
      <c r="C120" s="107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28"/>
      <c r="R120" s="107"/>
      <c r="S120" s="107"/>
      <c r="T120" s="107"/>
      <c r="U120" s="107"/>
      <c r="V120" s="107"/>
      <c r="W120" s="107"/>
      <c r="X120" s="129"/>
      <c r="Y120" s="129"/>
      <c r="Z120" s="129"/>
      <c r="AA120" s="129"/>
      <c r="AB120" s="129"/>
      <c r="AC120" s="107"/>
      <c r="AD120" s="107"/>
      <c r="AE120" s="107"/>
      <c r="AF120" s="129"/>
    </row>
    <row r="121" spans="2:32" x14ac:dyDescent="0.25">
      <c r="B121" s="3"/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  <c r="Q121" s="128"/>
      <c r="R121" s="107"/>
      <c r="S121" s="107"/>
      <c r="T121" s="107"/>
      <c r="U121" s="107"/>
      <c r="V121" s="107"/>
      <c r="W121" s="107"/>
      <c r="X121" s="129"/>
      <c r="Y121" s="129"/>
      <c r="Z121" s="129"/>
      <c r="AA121" s="129"/>
      <c r="AB121" s="129"/>
      <c r="AC121" s="107"/>
      <c r="AD121" s="107"/>
      <c r="AE121" s="107"/>
      <c r="AF121" s="129"/>
    </row>
    <row r="122" spans="2:32" x14ac:dyDescent="0.25">
      <c r="B122" s="3"/>
      <c r="C122" s="107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  <c r="Q122" s="128"/>
      <c r="R122" s="107"/>
      <c r="S122" s="107"/>
      <c r="T122" s="107"/>
      <c r="U122" s="107"/>
      <c r="V122" s="107"/>
      <c r="W122" s="107"/>
      <c r="X122" s="129"/>
      <c r="Y122" s="129"/>
      <c r="Z122" s="129"/>
      <c r="AA122" s="129"/>
      <c r="AB122" s="129"/>
      <c r="AC122" s="107"/>
      <c r="AD122" s="107"/>
      <c r="AE122" s="107"/>
      <c r="AF122" s="129"/>
    </row>
    <row r="123" spans="2:32" x14ac:dyDescent="0.25">
      <c r="B123" s="3"/>
      <c r="C123" s="107"/>
      <c r="D123" s="107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07"/>
      <c r="P123" s="107"/>
      <c r="Q123" s="128"/>
      <c r="R123" s="107"/>
      <c r="S123" s="107"/>
      <c r="T123" s="107"/>
      <c r="U123" s="107"/>
      <c r="V123" s="107"/>
      <c r="W123" s="107"/>
      <c r="X123" s="129"/>
      <c r="Y123" s="129"/>
      <c r="Z123" s="129"/>
      <c r="AA123" s="129"/>
      <c r="AB123" s="129"/>
      <c r="AC123" s="107"/>
      <c r="AD123" s="107"/>
      <c r="AE123" s="107"/>
      <c r="AF123" s="129"/>
    </row>
    <row r="124" spans="2:32" x14ac:dyDescent="0.25">
      <c r="B124" s="3"/>
      <c r="C124" s="107"/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  <c r="Q124" s="128"/>
      <c r="R124" s="107"/>
      <c r="S124" s="107"/>
      <c r="T124" s="107"/>
      <c r="U124" s="107"/>
      <c r="V124" s="107"/>
      <c r="W124" s="107"/>
      <c r="X124" s="129"/>
      <c r="Y124" s="129"/>
      <c r="Z124" s="129"/>
      <c r="AA124" s="129"/>
      <c r="AB124" s="129"/>
      <c r="AC124" s="107"/>
      <c r="AD124" s="107"/>
      <c r="AE124" s="107"/>
      <c r="AF124" s="129"/>
    </row>
    <row r="125" spans="2:32" x14ac:dyDescent="0.25">
      <c r="B125" s="3"/>
      <c r="C125" s="107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  <c r="Q125" s="128"/>
      <c r="R125" s="107"/>
      <c r="S125" s="107"/>
      <c r="T125" s="107"/>
      <c r="U125" s="107"/>
      <c r="V125" s="107"/>
      <c r="W125" s="107"/>
      <c r="X125" s="129"/>
      <c r="Y125" s="129"/>
      <c r="Z125" s="129"/>
      <c r="AA125" s="129"/>
      <c r="AB125" s="129"/>
      <c r="AC125" s="107"/>
      <c r="AD125" s="107"/>
      <c r="AE125" s="107"/>
      <c r="AF125" s="129"/>
    </row>
    <row r="126" spans="2:32" x14ac:dyDescent="0.25">
      <c r="B126" s="3"/>
      <c r="C126" s="107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  <c r="P126" s="107"/>
      <c r="Q126" s="128"/>
      <c r="R126" s="107"/>
      <c r="S126" s="107"/>
      <c r="T126" s="107"/>
      <c r="U126" s="107"/>
      <c r="V126" s="107"/>
      <c r="W126" s="107"/>
      <c r="X126" s="129"/>
      <c r="Y126" s="129"/>
      <c r="Z126" s="129"/>
      <c r="AA126" s="129"/>
      <c r="AB126" s="129"/>
      <c r="AC126" s="107"/>
      <c r="AD126" s="107"/>
      <c r="AE126" s="107"/>
      <c r="AF126" s="129"/>
    </row>
    <row r="127" spans="2:32" x14ac:dyDescent="0.25">
      <c r="B127" s="3"/>
      <c r="C127" s="107"/>
      <c r="D127" s="107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  <c r="Q127" s="128"/>
      <c r="R127" s="107"/>
      <c r="S127" s="107"/>
      <c r="T127" s="107"/>
      <c r="U127" s="107"/>
      <c r="V127" s="107"/>
      <c r="W127" s="107"/>
      <c r="X127" s="129"/>
      <c r="Y127" s="129"/>
      <c r="Z127" s="129"/>
      <c r="AA127" s="129"/>
      <c r="AB127" s="129"/>
      <c r="AC127" s="107"/>
      <c r="AD127" s="107"/>
      <c r="AE127" s="107"/>
      <c r="AF127" s="129"/>
    </row>
    <row r="128" spans="2:32" x14ac:dyDescent="0.25">
      <c r="B128" s="3"/>
      <c r="C128" s="107"/>
      <c r="D128" s="107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07"/>
      <c r="P128" s="107"/>
      <c r="Q128" s="128"/>
      <c r="R128" s="107"/>
      <c r="S128" s="107"/>
      <c r="T128" s="107"/>
      <c r="U128" s="107"/>
      <c r="V128" s="107"/>
      <c r="W128" s="107"/>
      <c r="X128" s="129"/>
      <c r="Y128" s="129"/>
      <c r="Z128" s="129"/>
      <c r="AA128" s="129"/>
      <c r="AB128" s="129"/>
      <c r="AC128" s="107"/>
      <c r="AD128" s="107"/>
      <c r="AE128" s="107"/>
      <c r="AF128" s="129"/>
    </row>
    <row r="129" spans="2:32" x14ac:dyDescent="0.25">
      <c r="B129" s="3"/>
      <c r="C129" s="107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  <c r="Q129" s="128"/>
      <c r="R129" s="107"/>
      <c r="S129" s="107"/>
      <c r="T129" s="107"/>
      <c r="U129" s="107"/>
      <c r="V129" s="107"/>
      <c r="W129" s="107"/>
      <c r="X129" s="129"/>
      <c r="Y129" s="129"/>
      <c r="Z129" s="129"/>
      <c r="AA129" s="129"/>
      <c r="AB129" s="129"/>
      <c r="AC129" s="107"/>
      <c r="AD129" s="107"/>
      <c r="AE129" s="107"/>
      <c r="AF129" s="129"/>
    </row>
    <row r="130" spans="2:32" x14ac:dyDescent="0.25">
      <c r="B130" s="3"/>
      <c r="C130" s="107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  <c r="Q130" s="128"/>
      <c r="R130" s="107"/>
      <c r="S130" s="107"/>
      <c r="T130" s="107"/>
      <c r="U130" s="107"/>
      <c r="V130" s="107"/>
      <c r="W130" s="107"/>
      <c r="X130" s="129"/>
      <c r="Y130" s="129"/>
      <c r="Z130" s="129"/>
      <c r="AA130" s="129"/>
      <c r="AB130" s="129"/>
      <c r="AC130" s="107"/>
      <c r="AD130" s="107"/>
      <c r="AE130" s="107"/>
      <c r="AF130" s="129"/>
    </row>
    <row r="131" spans="2:32" x14ac:dyDescent="0.25">
      <c r="B131" s="3"/>
      <c r="C131" s="107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  <c r="Q131" s="128"/>
      <c r="R131" s="107"/>
      <c r="S131" s="107"/>
      <c r="T131" s="107"/>
      <c r="U131" s="107"/>
      <c r="V131" s="107"/>
      <c r="W131" s="107"/>
      <c r="X131" s="129"/>
      <c r="Y131" s="129"/>
      <c r="Z131" s="129"/>
      <c r="AA131" s="129"/>
      <c r="AB131" s="129"/>
      <c r="AC131" s="107"/>
      <c r="AD131" s="107"/>
      <c r="AE131" s="107"/>
      <c r="AF131" s="129"/>
    </row>
    <row r="132" spans="2:32" x14ac:dyDescent="0.25">
      <c r="B132" s="3"/>
      <c r="C132" s="107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  <c r="P132" s="107"/>
      <c r="Q132" s="128"/>
      <c r="R132" s="107"/>
      <c r="S132" s="107"/>
      <c r="T132" s="107"/>
      <c r="U132" s="107"/>
      <c r="V132" s="107"/>
      <c r="W132" s="107"/>
      <c r="X132" s="129"/>
      <c r="Y132" s="129"/>
      <c r="Z132" s="129"/>
      <c r="AA132" s="129"/>
      <c r="AB132" s="129"/>
      <c r="AC132" s="107"/>
      <c r="AD132" s="107"/>
      <c r="AE132" s="107"/>
      <c r="AF132" s="129"/>
    </row>
    <row r="133" spans="2:32" x14ac:dyDescent="0.25">
      <c r="B133" s="3"/>
      <c r="C133" s="107"/>
      <c r="D133" s="107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  <c r="P133" s="107"/>
      <c r="Q133" s="128"/>
      <c r="R133" s="107"/>
      <c r="S133" s="107"/>
      <c r="T133" s="107"/>
      <c r="U133" s="107"/>
      <c r="V133" s="107"/>
      <c r="W133" s="107"/>
      <c r="X133" s="129"/>
      <c r="Y133" s="129"/>
      <c r="Z133" s="129"/>
      <c r="AA133" s="129"/>
      <c r="AB133" s="129"/>
      <c r="AC133" s="107"/>
      <c r="AD133" s="107"/>
      <c r="AE133" s="107"/>
      <c r="AF133" s="129"/>
    </row>
    <row r="134" spans="2:32" x14ac:dyDescent="0.25">
      <c r="B134" s="3"/>
      <c r="C134" s="107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07"/>
      <c r="P134" s="107"/>
      <c r="Q134" s="128"/>
      <c r="R134" s="107"/>
      <c r="S134" s="107"/>
      <c r="T134" s="107"/>
      <c r="U134" s="107"/>
      <c r="V134" s="107"/>
      <c r="W134" s="107"/>
      <c r="X134" s="129"/>
      <c r="Y134" s="129"/>
      <c r="Z134" s="129"/>
      <c r="AA134" s="129"/>
      <c r="AB134" s="129"/>
      <c r="AC134" s="107"/>
      <c r="AD134" s="107"/>
      <c r="AE134" s="107"/>
      <c r="AF134" s="129"/>
    </row>
    <row r="135" spans="2:32" x14ac:dyDescent="0.25">
      <c r="B135" s="3"/>
      <c r="C135" s="107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07"/>
      <c r="P135" s="107"/>
      <c r="Q135" s="128"/>
      <c r="R135" s="107"/>
      <c r="S135" s="107"/>
      <c r="T135" s="107"/>
      <c r="U135" s="107"/>
      <c r="V135" s="107"/>
      <c r="W135" s="107"/>
      <c r="X135" s="129"/>
      <c r="Y135" s="129"/>
      <c r="Z135" s="129"/>
      <c r="AA135" s="129"/>
      <c r="AB135" s="129"/>
      <c r="AC135" s="107"/>
      <c r="AD135" s="107"/>
      <c r="AE135" s="107"/>
      <c r="AF135" s="129"/>
    </row>
    <row r="136" spans="2:32" x14ac:dyDescent="0.25">
      <c r="B136" s="3"/>
      <c r="C136" s="107"/>
      <c r="D136" s="107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107"/>
      <c r="P136" s="107"/>
      <c r="Q136" s="128"/>
      <c r="R136" s="107"/>
      <c r="S136" s="107"/>
      <c r="T136" s="107"/>
      <c r="U136" s="107"/>
      <c r="V136" s="107"/>
      <c r="W136" s="107"/>
      <c r="X136" s="129"/>
      <c r="Y136" s="129"/>
      <c r="Z136" s="129"/>
      <c r="AA136" s="129"/>
      <c r="AB136" s="129"/>
      <c r="AC136" s="107"/>
      <c r="AD136" s="107"/>
      <c r="AE136" s="107"/>
      <c r="AF136" s="129"/>
    </row>
    <row r="137" spans="2:32" x14ac:dyDescent="0.25">
      <c r="B137" s="3"/>
      <c r="C137" s="107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  <c r="P137" s="107"/>
      <c r="Q137" s="128"/>
      <c r="R137" s="107"/>
      <c r="S137" s="107"/>
      <c r="T137" s="107"/>
      <c r="U137" s="107"/>
      <c r="V137" s="107"/>
      <c r="W137" s="107"/>
      <c r="X137" s="129"/>
      <c r="Y137" s="129"/>
      <c r="Z137" s="129"/>
      <c r="AA137" s="129"/>
      <c r="AB137" s="129"/>
      <c r="AC137" s="107"/>
      <c r="AD137" s="107"/>
      <c r="AE137" s="107"/>
      <c r="AF137" s="129"/>
    </row>
    <row r="138" spans="2:32" x14ac:dyDescent="0.25">
      <c r="B138" s="3"/>
      <c r="C138" s="107"/>
      <c r="D138" s="107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107"/>
      <c r="P138" s="107"/>
      <c r="Q138" s="128"/>
      <c r="R138" s="107"/>
      <c r="S138" s="107"/>
      <c r="T138" s="107"/>
      <c r="U138" s="107"/>
      <c r="V138" s="107"/>
      <c r="W138" s="107"/>
      <c r="X138" s="129"/>
      <c r="Y138" s="129"/>
      <c r="Z138" s="129"/>
      <c r="AA138" s="129"/>
      <c r="AB138" s="129"/>
      <c r="AC138" s="107"/>
      <c r="AD138" s="107"/>
      <c r="AE138" s="107"/>
      <c r="AF138" s="129"/>
    </row>
    <row r="139" spans="2:32" x14ac:dyDescent="0.25">
      <c r="B139" s="3"/>
      <c r="C139" s="107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07"/>
      <c r="P139" s="107"/>
      <c r="Q139" s="128"/>
      <c r="R139" s="107"/>
      <c r="S139" s="107"/>
      <c r="T139" s="107"/>
      <c r="U139" s="107"/>
      <c r="V139" s="107"/>
      <c r="W139" s="107"/>
      <c r="X139" s="129"/>
      <c r="Y139" s="129"/>
      <c r="Z139" s="129"/>
      <c r="AA139" s="129"/>
      <c r="AB139" s="129"/>
      <c r="AC139" s="107"/>
      <c r="AD139" s="107"/>
      <c r="AE139" s="107"/>
      <c r="AF139" s="129"/>
    </row>
    <row r="140" spans="2:32" x14ac:dyDescent="0.25">
      <c r="B140" s="3"/>
      <c r="C140" s="107"/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  <c r="Q140" s="128"/>
      <c r="R140" s="107"/>
      <c r="S140" s="107"/>
      <c r="T140" s="107"/>
      <c r="U140" s="107"/>
      <c r="V140" s="107"/>
      <c r="W140" s="107"/>
      <c r="X140" s="129"/>
      <c r="Y140" s="129"/>
      <c r="Z140" s="129"/>
      <c r="AA140" s="129"/>
      <c r="AB140" s="129"/>
      <c r="AC140" s="107"/>
      <c r="AD140" s="107"/>
      <c r="AE140" s="107"/>
      <c r="AF140" s="129"/>
    </row>
    <row r="141" spans="2:32" x14ac:dyDescent="0.25">
      <c r="B141" s="3"/>
      <c r="C141" s="107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07"/>
      <c r="P141" s="107"/>
      <c r="Q141" s="128"/>
      <c r="R141" s="107"/>
      <c r="S141" s="107"/>
      <c r="T141" s="107"/>
      <c r="U141" s="107"/>
      <c r="V141" s="107"/>
      <c r="W141" s="107"/>
      <c r="X141" s="129"/>
      <c r="Y141" s="129"/>
      <c r="Z141" s="129"/>
      <c r="AA141" s="129"/>
      <c r="AB141" s="129"/>
      <c r="AC141" s="107"/>
      <c r="AD141" s="107"/>
      <c r="AE141" s="107"/>
      <c r="AF141" s="129"/>
    </row>
    <row r="142" spans="2:32" x14ac:dyDescent="0.25">
      <c r="B142" s="3"/>
      <c r="C142" s="107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  <c r="Q142" s="128"/>
      <c r="R142" s="107"/>
      <c r="S142" s="107"/>
      <c r="T142" s="107"/>
      <c r="U142" s="107"/>
      <c r="V142" s="107"/>
      <c r="W142" s="107"/>
      <c r="X142" s="129"/>
      <c r="Y142" s="129"/>
      <c r="Z142" s="129"/>
      <c r="AA142" s="129"/>
      <c r="AB142" s="129"/>
      <c r="AC142" s="107"/>
      <c r="AD142" s="107"/>
      <c r="AE142" s="107"/>
      <c r="AF142" s="129"/>
    </row>
    <row r="143" spans="2:32" x14ac:dyDescent="0.25">
      <c r="B143" s="3"/>
      <c r="C143" s="107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28"/>
      <c r="R143" s="107"/>
      <c r="S143" s="107"/>
      <c r="T143" s="107"/>
      <c r="U143" s="107"/>
      <c r="V143" s="107"/>
      <c r="W143" s="107"/>
      <c r="X143" s="129"/>
      <c r="Y143" s="129"/>
      <c r="Z143" s="129"/>
      <c r="AA143" s="129"/>
      <c r="AB143" s="129"/>
      <c r="AC143" s="107"/>
      <c r="AD143" s="107"/>
      <c r="AE143" s="107"/>
      <c r="AF143" s="129"/>
    </row>
    <row r="144" spans="2:32" x14ac:dyDescent="0.25">
      <c r="B144" s="3"/>
      <c r="C144" s="107"/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7"/>
      <c r="P144" s="107"/>
      <c r="Q144" s="128"/>
      <c r="R144" s="107"/>
      <c r="S144" s="107"/>
      <c r="T144" s="107"/>
      <c r="U144" s="107"/>
      <c r="V144" s="107"/>
      <c r="W144" s="107"/>
      <c r="X144" s="129"/>
      <c r="Y144" s="129"/>
      <c r="Z144" s="129"/>
      <c r="AA144" s="129"/>
      <c r="AB144" s="129"/>
      <c r="AC144" s="107"/>
      <c r="AD144" s="107"/>
      <c r="AE144" s="107"/>
      <c r="AF144" s="129"/>
    </row>
    <row r="145" spans="2:32" x14ac:dyDescent="0.25">
      <c r="B145" s="3"/>
      <c r="C145" s="107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07"/>
      <c r="P145" s="107"/>
      <c r="Q145" s="128"/>
      <c r="R145" s="107"/>
      <c r="S145" s="107"/>
      <c r="T145" s="107"/>
      <c r="U145" s="107"/>
      <c r="V145" s="107"/>
      <c r="W145" s="107"/>
      <c r="X145" s="129"/>
      <c r="Y145" s="129"/>
      <c r="Z145" s="129"/>
      <c r="AA145" s="129"/>
      <c r="AB145" s="129"/>
      <c r="AC145" s="107"/>
      <c r="AD145" s="107"/>
      <c r="AE145" s="107"/>
      <c r="AF145" s="129"/>
    </row>
    <row r="146" spans="2:32" x14ac:dyDescent="0.25">
      <c r="B146" s="3"/>
      <c r="C146" s="107"/>
      <c r="D146" s="107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07"/>
      <c r="P146" s="107"/>
      <c r="Q146" s="128"/>
      <c r="R146" s="107"/>
      <c r="S146" s="107"/>
      <c r="T146" s="107"/>
      <c r="U146" s="107"/>
      <c r="V146" s="107"/>
      <c r="W146" s="107"/>
      <c r="X146" s="129"/>
      <c r="Y146" s="129"/>
      <c r="Z146" s="129"/>
      <c r="AA146" s="129"/>
      <c r="AB146" s="129"/>
      <c r="AC146" s="107"/>
      <c r="AD146" s="107"/>
      <c r="AE146" s="107"/>
      <c r="AF146" s="129"/>
    </row>
    <row r="147" spans="2:32" x14ac:dyDescent="0.25">
      <c r="B147" s="3"/>
      <c r="C147" s="107"/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07"/>
      <c r="P147" s="107"/>
      <c r="Q147" s="128"/>
      <c r="R147" s="107"/>
      <c r="S147" s="107"/>
      <c r="T147" s="107"/>
      <c r="U147" s="107"/>
      <c r="V147" s="107"/>
      <c r="W147" s="107"/>
      <c r="X147" s="129"/>
      <c r="Y147" s="129"/>
      <c r="Z147" s="129"/>
      <c r="AA147" s="129"/>
      <c r="AB147" s="129"/>
      <c r="AC147" s="107"/>
      <c r="AD147" s="107"/>
      <c r="AE147" s="107"/>
      <c r="AF147" s="129"/>
    </row>
    <row r="148" spans="2:32" x14ac:dyDescent="0.25">
      <c r="B148" s="3"/>
      <c r="C148" s="107"/>
      <c r="D148" s="107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07"/>
      <c r="P148" s="107"/>
      <c r="Q148" s="128"/>
      <c r="R148" s="107"/>
      <c r="S148" s="107"/>
      <c r="T148" s="107"/>
      <c r="U148" s="107"/>
      <c r="V148" s="107"/>
      <c r="W148" s="107"/>
      <c r="X148" s="129"/>
      <c r="Y148" s="129"/>
      <c r="Z148" s="129"/>
      <c r="AA148" s="129"/>
      <c r="AB148" s="129"/>
      <c r="AC148" s="107"/>
      <c r="AD148" s="107"/>
      <c r="AE148" s="107"/>
      <c r="AF148" s="129"/>
    </row>
    <row r="149" spans="2:32" x14ac:dyDescent="0.25">
      <c r="B149" s="3"/>
      <c r="C149" s="107"/>
      <c r="D149" s="107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07"/>
      <c r="P149" s="107"/>
      <c r="Q149" s="128"/>
      <c r="R149" s="107"/>
      <c r="S149" s="107"/>
      <c r="T149" s="107"/>
      <c r="U149" s="107"/>
      <c r="V149" s="107"/>
      <c r="W149" s="107"/>
      <c r="X149" s="129"/>
      <c r="Y149" s="129"/>
      <c r="Z149" s="129"/>
      <c r="AA149" s="129"/>
      <c r="AB149" s="129"/>
      <c r="AC149" s="107"/>
      <c r="AD149" s="107"/>
      <c r="AE149" s="107"/>
      <c r="AF149" s="129"/>
    </row>
    <row r="150" spans="2:32" x14ac:dyDescent="0.25">
      <c r="B150" s="3"/>
      <c r="C150" s="107"/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  <c r="Q150" s="128"/>
      <c r="R150" s="107"/>
      <c r="S150" s="107"/>
      <c r="T150" s="107"/>
      <c r="U150" s="107"/>
      <c r="V150" s="107"/>
      <c r="W150" s="107"/>
      <c r="X150" s="129"/>
      <c r="Y150" s="129"/>
      <c r="Z150" s="129"/>
      <c r="AA150" s="129"/>
      <c r="AB150" s="129"/>
      <c r="AC150" s="107"/>
      <c r="AD150" s="107"/>
      <c r="AE150" s="107"/>
      <c r="AF150" s="129"/>
    </row>
    <row r="151" spans="2:32" x14ac:dyDescent="0.25">
      <c r="B151" s="3"/>
      <c r="C151" s="107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  <c r="Q151" s="128"/>
      <c r="R151" s="107"/>
      <c r="S151" s="107"/>
      <c r="T151" s="107"/>
      <c r="U151" s="107"/>
      <c r="V151" s="107"/>
      <c r="W151" s="107"/>
      <c r="X151" s="129"/>
      <c r="Y151" s="129"/>
      <c r="Z151" s="129"/>
      <c r="AA151" s="129"/>
      <c r="AB151" s="129"/>
      <c r="AC151" s="107"/>
      <c r="AD151" s="107"/>
      <c r="AE151" s="107"/>
      <c r="AF151" s="129"/>
    </row>
    <row r="152" spans="2:32" x14ac:dyDescent="0.25">
      <c r="B152" s="3"/>
      <c r="C152" s="107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  <c r="Q152" s="128"/>
      <c r="R152" s="107"/>
      <c r="S152" s="107"/>
      <c r="T152" s="107"/>
      <c r="U152" s="107"/>
      <c r="V152" s="107"/>
      <c r="W152" s="107"/>
      <c r="X152" s="129"/>
      <c r="Y152" s="129"/>
      <c r="Z152" s="129"/>
      <c r="AA152" s="129"/>
      <c r="AB152" s="129"/>
      <c r="AC152" s="107"/>
      <c r="AD152" s="107"/>
      <c r="AE152" s="107"/>
      <c r="AF152" s="129"/>
    </row>
    <row r="153" spans="2:32" x14ac:dyDescent="0.25">
      <c r="B153" s="3"/>
      <c r="C153" s="107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  <c r="Q153" s="128"/>
      <c r="R153" s="107"/>
      <c r="S153" s="107"/>
      <c r="T153" s="107"/>
      <c r="U153" s="107"/>
      <c r="V153" s="107"/>
      <c r="W153" s="107"/>
      <c r="X153" s="129"/>
      <c r="Y153" s="129"/>
      <c r="Z153" s="129"/>
      <c r="AA153" s="129"/>
      <c r="AB153" s="129"/>
      <c r="AC153" s="107"/>
      <c r="AD153" s="107"/>
      <c r="AE153" s="107"/>
      <c r="AF153" s="129"/>
    </row>
    <row r="154" spans="2:32" x14ac:dyDescent="0.25">
      <c r="B154" s="3"/>
      <c r="C154" s="107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/>
      <c r="Q154" s="128"/>
      <c r="R154" s="107"/>
      <c r="S154" s="107"/>
      <c r="T154" s="107"/>
      <c r="U154" s="107"/>
      <c r="V154" s="107"/>
      <c r="W154" s="107"/>
      <c r="X154" s="129"/>
      <c r="Y154" s="129"/>
      <c r="Z154" s="129"/>
      <c r="AA154" s="129"/>
      <c r="AB154" s="129"/>
      <c r="AC154" s="107"/>
      <c r="AD154" s="107"/>
      <c r="AE154" s="107"/>
      <c r="AF154" s="129"/>
    </row>
    <row r="155" spans="2:32" x14ac:dyDescent="0.25">
      <c r="B155" s="3"/>
      <c r="C155" s="107"/>
      <c r="D155" s="107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107"/>
      <c r="P155" s="107"/>
      <c r="Q155" s="128"/>
      <c r="R155" s="107"/>
      <c r="S155" s="107"/>
      <c r="T155" s="107"/>
      <c r="U155" s="107"/>
      <c r="V155" s="107"/>
      <c r="W155" s="107"/>
      <c r="X155" s="129"/>
      <c r="Y155" s="129"/>
      <c r="Z155" s="129"/>
      <c r="AA155" s="129"/>
      <c r="AB155" s="129"/>
      <c r="AC155" s="107"/>
      <c r="AD155" s="107"/>
      <c r="AE155" s="107"/>
      <c r="AF155" s="129"/>
    </row>
    <row r="156" spans="2:32" x14ac:dyDescent="0.25">
      <c r="B156" s="3"/>
      <c r="C156" s="107"/>
      <c r="D156" s="107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107"/>
      <c r="P156" s="107"/>
      <c r="Q156" s="128"/>
      <c r="R156" s="107"/>
      <c r="S156" s="107"/>
      <c r="T156" s="107"/>
      <c r="U156" s="107"/>
      <c r="V156" s="107"/>
      <c r="W156" s="107"/>
      <c r="X156" s="129"/>
      <c r="Y156" s="129"/>
      <c r="Z156" s="129"/>
      <c r="AA156" s="129"/>
      <c r="AB156" s="129"/>
      <c r="AC156" s="107"/>
      <c r="AD156" s="107"/>
      <c r="AE156" s="107"/>
      <c r="AF156" s="129"/>
    </row>
    <row r="157" spans="2:32" x14ac:dyDescent="0.25">
      <c r="B157" s="3"/>
      <c r="C157" s="107"/>
      <c r="D157" s="107"/>
      <c r="E157" s="107"/>
      <c r="F157" s="107"/>
      <c r="G157" s="107"/>
      <c r="H157" s="107"/>
      <c r="I157" s="107"/>
      <c r="J157" s="107"/>
      <c r="K157" s="107"/>
      <c r="L157" s="107"/>
      <c r="M157" s="107"/>
      <c r="N157" s="107"/>
      <c r="O157" s="107"/>
      <c r="P157" s="107"/>
      <c r="Q157" s="128"/>
      <c r="R157" s="107"/>
      <c r="S157" s="107"/>
      <c r="T157" s="107"/>
      <c r="U157" s="107"/>
      <c r="V157" s="107"/>
      <c r="W157" s="107"/>
      <c r="X157" s="129"/>
      <c r="Y157" s="129"/>
      <c r="Z157" s="129"/>
      <c r="AA157" s="129"/>
      <c r="AB157" s="129"/>
      <c r="AC157" s="107"/>
      <c r="AD157" s="107"/>
      <c r="AE157" s="107"/>
      <c r="AF157" s="129"/>
    </row>
    <row r="158" spans="2:32" x14ac:dyDescent="0.25">
      <c r="B158" s="3"/>
      <c r="C158" s="107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107"/>
      <c r="P158" s="107"/>
      <c r="Q158" s="128"/>
      <c r="R158" s="107"/>
      <c r="S158" s="107"/>
      <c r="T158" s="107"/>
      <c r="U158" s="107"/>
      <c r="V158" s="107"/>
      <c r="W158" s="107"/>
      <c r="X158" s="129"/>
      <c r="Y158" s="129"/>
      <c r="Z158" s="129"/>
      <c r="AA158" s="129"/>
      <c r="AB158" s="129"/>
      <c r="AC158" s="107"/>
      <c r="AD158" s="107"/>
      <c r="AE158" s="107"/>
      <c r="AF158" s="129"/>
    </row>
    <row r="159" spans="2:32" x14ac:dyDescent="0.25">
      <c r="B159" s="3"/>
      <c r="C159" s="107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107"/>
      <c r="P159" s="107"/>
      <c r="Q159" s="128"/>
      <c r="R159" s="107"/>
      <c r="S159" s="107"/>
      <c r="T159" s="107"/>
      <c r="U159" s="107"/>
      <c r="V159" s="107"/>
      <c r="W159" s="107"/>
      <c r="X159" s="129"/>
      <c r="Y159" s="129"/>
      <c r="Z159" s="129"/>
      <c r="AA159" s="129"/>
      <c r="AB159" s="129"/>
      <c r="AC159" s="107"/>
      <c r="AD159" s="107"/>
      <c r="AE159" s="107"/>
      <c r="AF159" s="129"/>
    </row>
    <row r="160" spans="2:32" x14ac:dyDescent="0.25">
      <c r="B160" s="3"/>
      <c r="C160" s="107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  <c r="Q160" s="128"/>
      <c r="R160" s="107"/>
      <c r="S160" s="107"/>
      <c r="T160" s="107"/>
      <c r="U160" s="107"/>
      <c r="V160" s="107"/>
      <c r="W160" s="107"/>
      <c r="X160" s="129"/>
      <c r="Y160" s="129"/>
      <c r="Z160" s="129"/>
      <c r="AA160" s="129"/>
      <c r="AB160" s="129"/>
      <c r="AC160" s="107"/>
      <c r="AD160" s="107"/>
      <c r="AE160" s="107"/>
      <c r="AF160" s="129"/>
    </row>
    <row r="161" spans="2:32" x14ac:dyDescent="0.25">
      <c r="B161" s="3"/>
      <c r="C161" s="107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  <c r="P161" s="107"/>
      <c r="Q161" s="128"/>
      <c r="R161" s="107"/>
      <c r="S161" s="107"/>
      <c r="T161" s="107"/>
      <c r="U161" s="107"/>
      <c r="V161" s="107"/>
      <c r="W161" s="107"/>
      <c r="X161" s="129"/>
      <c r="Y161" s="129"/>
      <c r="Z161" s="129"/>
      <c r="AA161" s="129"/>
      <c r="AB161" s="129"/>
      <c r="AC161" s="107"/>
      <c r="AD161" s="107"/>
      <c r="AE161" s="107"/>
      <c r="AF161" s="129"/>
    </row>
    <row r="162" spans="2:32" x14ac:dyDescent="0.25">
      <c r="B162" s="3"/>
      <c r="C162" s="107"/>
      <c r="D162" s="107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  <c r="O162" s="107"/>
      <c r="P162" s="107"/>
      <c r="Q162" s="128"/>
      <c r="R162" s="107"/>
      <c r="S162" s="107"/>
      <c r="T162" s="107"/>
      <c r="U162" s="107"/>
      <c r="V162" s="107"/>
      <c r="W162" s="107"/>
      <c r="X162" s="129"/>
      <c r="Y162" s="129"/>
      <c r="Z162" s="129"/>
      <c r="AA162" s="129"/>
      <c r="AB162" s="129"/>
      <c r="AC162" s="107"/>
      <c r="AD162" s="107"/>
      <c r="AE162" s="107"/>
      <c r="AF162" s="129"/>
    </row>
    <row r="163" spans="2:32" x14ac:dyDescent="0.25">
      <c r="B163" s="3"/>
      <c r="C163" s="107"/>
      <c r="D163" s="107"/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  <c r="O163" s="107"/>
      <c r="P163" s="107"/>
      <c r="Q163" s="128"/>
      <c r="R163" s="107"/>
      <c r="S163" s="107"/>
      <c r="T163" s="107"/>
      <c r="U163" s="107"/>
      <c r="V163" s="107"/>
      <c r="W163" s="107"/>
      <c r="X163" s="129"/>
      <c r="Y163" s="129"/>
      <c r="Z163" s="129"/>
      <c r="AA163" s="129"/>
      <c r="AB163" s="129"/>
      <c r="AC163" s="107"/>
      <c r="AD163" s="107"/>
      <c r="AE163" s="107"/>
      <c r="AF163" s="129"/>
    </row>
    <row r="164" spans="2:32" x14ac:dyDescent="0.25">
      <c r="B164" s="3"/>
      <c r="C164" s="107"/>
      <c r="D164" s="107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07"/>
      <c r="P164" s="107"/>
      <c r="Q164" s="128"/>
      <c r="R164" s="107"/>
      <c r="S164" s="107"/>
      <c r="T164" s="107"/>
      <c r="U164" s="107"/>
      <c r="V164" s="107"/>
      <c r="W164" s="107"/>
      <c r="X164" s="129"/>
      <c r="Y164" s="129"/>
      <c r="Z164" s="129"/>
      <c r="AA164" s="129"/>
      <c r="AB164" s="129"/>
      <c r="AC164" s="107"/>
      <c r="AD164" s="107"/>
      <c r="AE164" s="107"/>
      <c r="AF164" s="129"/>
    </row>
    <row r="165" spans="2:32" x14ac:dyDescent="0.25">
      <c r="B165" s="3"/>
      <c r="C165" s="107"/>
      <c r="D165" s="107"/>
      <c r="E165" s="107"/>
      <c r="F165" s="107"/>
      <c r="G165" s="107"/>
      <c r="H165" s="107"/>
      <c r="I165" s="107"/>
      <c r="J165" s="107"/>
      <c r="K165" s="107"/>
      <c r="L165" s="107"/>
      <c r="M165" s="107"/>
      <c r="N165" s="107"/>
      <c r="O165" s="107"/>
      <c r="P165" s="107"/>
      <c r="Q165" s="128"/>
      <c r="R165" s="107"/>
      <c r="S165" s="107"/>
      <c r="T165" s="107"/>
      <c r="U165" s="107"/>
      <c r="V165" s="107"/>
      <c r="W165" s="107"/>
      <c r="X165" s="129"/>
      <c r="Y165" s="129"/>
      <c r="Z165" s="129"/>
      <c r="AA165" s="129"/>
      <c r="AB165" s="129"/>
      <c r="AC165" s="107"/>
      <c r="AD165" s="107"/>
      <c r="AE165" s="107"/>
      <c r="AF165" s="129"/>
    </row>
    <row r="166" spans="2:32" x14ac:dyDescent="0.25">
      <c r="B166" s="3"/>
      <c r="C166" s="107"/>
      <c r="D166" s="107"/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  <c r="O166" s="107"/>
      <c r="P166" s="107"/>
      <c r="Q166" s="128"/>
      <c r="R166" s="107"/>
      <c r="S166" s="107"/>
      <c r="T166" s="107"/>
      <c r="U166" s="107"/>
      <c r="V166" s="107"/>
      <c r="W166" s="107"/>
      <c r="X166" s="129"/>
      <c r="Y166" s="129"/>
      <c r="Z166" s="129"/>
      <c r="AA166" s="129"/>
      <c r="AB166" s="129"/>
      <c r="AC166" s="107"/>
      <c r="AD166" s="107"/>
      <c r="AE166" s="107"/>
      <c r="AF166" s="129"/>
    </row>
    <row r="167" spans="2:32" x14ac:dyDescent="0.25">
      <c r="B167" s="3"/>
      <c r="C167" s="107"/>
      <c r="D167" s="107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  <c r="O167" s="107"/>
      <c r="P167" s="107"/>
      <c r="Q167" s="128"/>
      <c r="R167" s="107"/>
      <c r="S167" s="107"/>
      <c r="T167" s="107"/>
      <c r="U167" s="107"/>
      <c r="V167" s="107"/>
      <c r="W167" s="107"/>
      <c r="X167" s="129"/>
      <c r="Y167" s="129"/>
      <c r="Z167" s="129"/>
      <c r="AA167" s="129"/>
      <c r="AB167" s="129"/>
      <c r="AC167" s="107"/>
      <c r="AD167" s="107"/>
      <c r="AE167" s="107"/>
      <c r="AF167" s="129"/>
    </row>
    <row r="168" spans="2:32" x14ac:dyDescent="0.25">
      <c r="B168" s="3"/>
      <c r="C168" s="107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07"/>
      <c r="P168" s="107"/>
      <c r="Q168" s="128"/>
      <c r="R168" s="107"/>
      <c r="S168" s="107"/>
      <c r="T168" s="107"/>
      <c r="U168" s="107"/>
      <c r="V168" s="107"/>
      <c r="W168" s="107"/>
      <c r="X168" s="129"/>
      <c r="Y168" s="129"/>
      <c r="Z168" s="129"/>
      <c r="AA168" s="129"/>
      <c r="AB168" s="129"/>
      <c r="AC168" s="107"/>
      <c r="AD168" s="107"/>
      <c r="AE168" s="107"/>
      <c r="AF168" s="129"/>
    </row>
    <row r="169" spans="2:32" x14ac:dyDescent="0.25">
      <c r="B169" s="3"/>
      <c r="C169" s="107"/>
      <c r="D169" s="107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107"/>
      <c r="P169" s="107"/>
      <c r="Q169" s="128"/>
      <c r="R169" s="107"/>
      <c r="S169" s="107"/>
      <c r="T169" s="107"/>
      <c r="U169" s="107"/>
      <c r="V169" s="107"/>
      <c r="W169" s="107"/>
      <c r="X169" s="129"/>
      <c r="Y169" s="129"/>
      <c r="Z169" s="129"/>
      <c r="AA169" s="129"/>
      <c r="AB169" s="129"/>
      <c r="AC169" s="107"/>
      <c r="AD169" s="107"/>
      <c r="AE169" s="107"/>
      <c r="AF169" s="129"/>
    </row>
    <row r="170" spans="2:32" x14ac:dyDescent="0.25">
      <c r="B170" s="3"/>
      <c r="C170" s="107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28"/>
      <c r="R170" s="107"/>
      <c r="S170" s="107"/>
      <c r="T170" s="107"/>
      <c r="U170" s="107"/>
      <c r="V170" s="107"/>
      <c r="W170" s="107"/>
      <c r="X170" s="129"/>
      <c r="Y170" s="129"/>
      <c r="Z170" s="129"/>
      <c r="AA170" s="129"/>
      <c r="AB170" s="129"/>
      <c r="AC170" s="107"/>
      <c r="AD170" s="107"/>
      <c r="AE170" s="107"/>
      <c r="AF170" s="129"/>
    </row>
    <row r="171" spans="2:32" x14ac:dyDescent="0.25">
      <c r="B171" s="3"/>
      <c r="C171" s="107"/>
      <c r="D171" s="107"/>
      <c r="E171" s="107"/>
      <c r="F171" s="107"/>
      <c r="G171" s="107"/>
      <c r="H171" s="107"/>
      <c r="I171" s="107"/>
      <c r="J171" s="107"/>
      <c r="K171" s="107"/>
      <c r="L171" s="107"/>
      <c r="M171" s="107"/>
      <c r="N171" s="107"/>
      <c r="O171" s="107"/>
      <c r="P171" s="107"/>
      <c r="Q171" s="128"/>
      <c r="R171" s="107"/>
      <c r="S171" s="107"/>
      <c r="T171" s="107"/>
      <c r="U171" s="107"/>
      <c r="V171" s="107"/>
      <c r="W171" s="107"/>
      <c r="X171" s="129"/>
      <c r="Y171" s="129"/>
      <c r="Z171" s="129"/>
      <c r="AA171" s="129"/>
      <c r="AB171" s="129"/>
      <c r="AC171" s="107"/>
      <c r="AD171" s="107"/>
      <c r="AE171" s="107"/>
      <c r="AF171" s="129"/>
    </row>
    <row r="172" spans="2:32" x14ac:dyDescent="0.25">
      <c r="B172" s="3"/>
      <c r="C172" s="107"/>
      <c r="D172" s="107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07"/>
      <c r="P172" s="107"/>
      <c r="Q172" s="128"/>
      <c r="R172" s="107"/>
      <c r="S172" s="107"/>
      <c r="T172" s="107"/>
      <c r="U172" s="107"/>
      <c r="V172" s="107"/>
      <c r="W172" s="107"/>
      <c r="X172" s="129"/>
      <c r="Y172" s="129"/>
      <c r="Z172" s="129"/>
      <c r="AA172" s="129"/>
      <c r="AB172" s="129"/>
      <c r="AC172" s="107"/>
      <c r="AD172" s="107"/>
      <c r="AE172" s="107"/>
      <c r="AF172" s="129"/>
    </row>
    <row r="173" spans="2:32" x14ac:dyDescent="0.25">
      <c r="B173" s="3"/>
      <c r="C173" s="107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  <c r="Q173" s="128"/>
      <c r="R173" s="107"/>
      <c r="S173" s="107"/>
      <c r="T173" s="107"/>
      <c r="U173" s="107"/>
      <c r="V173" s="107"/>
      <c r="W173" s="107"/>
      <c r="X173" s="129"/>
      <c r="Y173" s="129"/>
      <c r="Z173" s="129"/>
      <c r="AA173" s="129"/>
      <c r="AB173" s="129"/>
      <c r="AC173" s="107"/>
      <c r="AD173" s="107"/>
      <c r="AE173" s="107"/>
      <c r="AF173" s="129"/>
    </row>
    <row r="174" spans="2:32" x14ac:dyDescent="0.25">
      <c r="B174" s="3"/>
      <c r="C174" s="107"/>
      <c r="D174" s="107"/>
      <c r="E174" s="107"/>
      <c r="F174" s="107"/>
      <c r="G174" s="107"/>
      <c r="H174" s="107"/>
      <c r="I174" s="107"/>
      <c r="J174" s="107"/>
      <c r="K174" s="107"/>
      <c r="L174" s="107"/>
      <c r="M174" s="107"/>
      <c r="N174" s="107"/>
      <c r="O174" s="107"/>
      <c r="P174" s="107"/>
      <c r="Q174" s="128"/>
      <c r="R174" s="107"/>
      <c r="S174" s="107"/>
      <c r="T174" s="107"/>
      <c r="U174" s="107"/>
      <c r="V174" s="107"/>
      <c r="W174" s="107"/>
      <c r="X174" s="129"/>
      <c r="Y174" s="129"/>
      <c r="Z174" s="129"/>
      <c r="AA174" s="129"/>
      <c r="AB174" s="129"/>
      <c r="AC174" s="107"/>
      <c r="AD174" s="107"/>
      <c r="AE174" s="107"/>
      <c r="AF174" s="129"/>
    </row>
    <row r="175" spans="2:32" x14ac:dyDescent="0.25">
      <c r="B175" s="3"/>
      <c r="C175" s="107"/>
      <c r="D175" s="107"/>
      <c r="E175" s="107"/>
      <c r="F175" s="107"/>
      <c r="G175" s="107"/>
      <c r="H175" s="107"/>
      <c r="I175" s="107"/>
      <c r="J175" s="107"/>
      <c r="K175" s="107"/>
      <c r="L175" s="107"/>
      <c r="M175" s="107"/>
      <c r="N175" s="107"/>
      <c r="O175" s="107"/>
      <c r="P175" s="107"/>
      <c r="Q175" s="128"/>
      <c r="R175" s="107"/>
      <c r="S175" s="107"/>
      <c r="T175" s="107"/>
      <c r="U175" s="107"/>
      <c r="V175" s="107"/>
      <c r="W175" s="107"/>
      <c r="X175" s="129"/>
      <c r="Y175" s="129"/>
      <c r="Z175" s="129"/>
      <c r="AA175" s="129"/>
      <c r="AB175" s="129"/>
      <c r="AC175" s="107"/>
      <c r="AD175" s="107"/>
      <c r="AE175" s="107"/>
      <c r="AF175" s="129"/>
    </row>
    <row r="176" spans="2:32" x14ac:dyDescent="0.25">
      <c r="B176" s="3"/>
      <c r="C176" s="107"/>
      <c r="D176" s="107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  <c r="O176" s="107"/>
      <c r="P176" s="107"/>
      <c r="Q176" s="128"/>
      <c r="R176" s="107"/>
      <c r="S176" s="107"/>
      <c r="T176" s="107"/>
      <c r="U176" s="107"/>
      <c r="V176" s="107"/>
      <c r="W176" s="107"/>
      <c r="X176" s="129"/>
      <c r="Y176" s="129"/>
      <c r="Z176" s="129"/>
      <c r="AA176" s="129"/>
      <c r="AB176" s="129"/>
      <c r="AC176" s="107"/>
      <c r="AD176" s="107"/>
      <c r="AE176" s="107"/>
      <c r="AF176" s="129"/>
    </row>
    <row r="177" spans="2:32" x14ac:dyDescent="0.25">
      <c r="B177" s="3"/>
      <c r="C177" s="107"/>
      <c r="D177" s="107"/>
      <c r="E177" s="107"/>
      <c r="F177" s="107"/>
      <c r="G177" s="107"/>
      <c r="H177" s="107"/>
      <c r="I177" s="107"/>
      <c r="J177" s="107"/>
      <c r="K177" s="107"/>
      <c r="L177" s="107"/>
      <c r="M177" s="107"/>
      <c r="N177" s="107"/>
      <c r="O177" s="107"/>
      <c r="P177" s="107"/>
      <c r="Q177" s="128"/>
      <c r="R177" s="107"/>
      <c r="S177" s="107"/>
      <c r="T177" s="107"/>
      <c r="U177" s="107"/>
      <c r="V177" s="107"/>
      <c r="W177" s="107"/>
      <c r="X177" s="129"/>
      <c r="Y177" s="129"/>
      <c r="Z177" s="129"/>
      <c r="AA177" s="129"/>
      <c r="AB177" s="129"/>
      <c r="AC177" s="107"/>
      <c r="AD177" s="107"/>
      <c r="AE177" s="107"/>
      <c r="AF177" s="129"/>
    </row>
    <row r="178" spans="2:32" x14ac:dyDescent="0.25">
      <c r="B178" s="3"/>
      <c r="C178" s="107"/>
      <c r="D178" s="107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107"/>
      <c r="P178" s="107"/>
      <c r="Q178" s="128"/>
      <c r="R178" s="107"/>
      <c r="S178" s="107"/>
      <c r="T178" s="107"/>
      <c r="U178" s="107"/>
      <c r="V178" s="107"/>
      <c r="W178" s="107"/>
      <c r="X178" s="129"/>
      <c r="Y178" s="129"/>
      <c r="Z178" s="129"/>
      <c r="AA178" s="129"/>
      <c r="AB178" s="129"/>
      <c r="AC178" s="107"/>
      <c r="AD178" s="107"/>
      <c r="AE178" s="107"/>
      <c r="AF178" s="129"/>
    </row>
    <row r="179" spans="2:32" x14ac:dyDescent="0.25">
      <c r="B179" s="3"/>
      <c r="C179" s="107"/>
      <c r="D179" s="107"/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107"/>
      <c r="P179" s="107"/>
      <c r="Q179" s="128"/>
      <c r="R179" s="107"/>
      <c r="S179" s="107"/>
      <c r="T179" s="107"/>
      <c r="U179" s="107"/>
      <c r="V179" s="107"/>
      <c r="W179" s="107"/>
      <c r="X179" s="129"/>
      <c r="Y179" s="129"/>
      <c r="Z179" s="129"/>
      <c r="AA179" s="129"/>
      <c r="AB179" s="129"/>
      <c r="AC179" s="107"/>
      <c r="AD179" s="107"/>
      <c r="AE179" s="107"/>
      <c r="AF179" s="129"/>
    </row>
    <row r="180" spans="2:32" x14ac:dyDescent="0.25">
      <c r="B180" s="3"/>
      <c r="C180" s="107"/>
      <c r="D180" s="107"/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07"/>
      <c r="P180" s="107"/>
      <c r="Q180" s="128"/>
      <c r="R180" s="107"/>
      <c r="S180" s="107"/>
      <c r="T180" s="107"/>
      <c r="U180" s="107"/>
      <c r="V180" s="107"/>
      <c r="W180" s="107"/>
      <c r="X180" s="129"/>
      <c r="Y180" s="129"/>
      <c r="Z180" s="129"/>
      <c r="AA180" s="129"/>
      <c r="AB180" s="129"/>
      <c r="AC180" s="107"/>
      <c r="AD180" s="107"/>
      <c r="AE180" s="107"/>
      <c r="AF180" s="129"/>
    </row>
    <row r="181" spans="2:32" x14ac:dyDescent="0.25">
      <c r="B181" s="3"/>
      <c r="C181" s="107"/>
      <c r="D181" s="107"/>
      <c r="E181" s="107"/>
      <c r="F181" s="107"/>
      <c r="G181" s="107"/>
      <c r="H181" s="107"/>
      <c r="I181" s="107"/>
      <c r="J181" s="107"/>
      <c r="K181" s="107"/>
      <c r="L181" s="107"/>
      <c r="M181" s="107"/>
      <c r="N181" s="107"/>
      <c r="O181" s="107"/>
      <c r="P181" s="107"/>
      <c r="Q181" s="128"/>
      <c r="R181" s="107"/>
      <c r="S181" s="107"/>
      <c r="T181" s="107"/>
      <c r="U181" s="107"/>
      <c r="V181" s="107"/>
      <c r="W181" s="107"/>
      <c r="X181" s="129"/>
      <c r="Y181" s="129"/>
      <c r="Z181" s="129"/>
      <c r="AA181" s="129"/>
      <c r="AB181" s="129"/>
      <c r="AC181" s="107"/>
      <c r="AD181" s="107"/>
      <c r="AE181" s="107"/>
      <c r="AF181" s="129"/>
    </row>
    <row r="182" spans="2:32" x14ac:dyDescent="0.25">
      <c r="B182" s="3"/>
      <c r="C182" s="107"/>
      <c r="D182" s="107"/>
      <c r="E182" s="107"/>
      <c r="F182" s="107"/>
      <c r="G182" s="107"/>
      <c r="H182" s="107"/>
      <c r="I182" s="107"/>
      <c r="J182" s="107"/>
      <c r="K182" s="107"/>
      <c r="L182" s="107"/>
      <c r="M182" s="107"/>
      <c r="N182" s="107"/>
      <c r="O182" s="107"/>
      <c r="P182" s="107"/>
      <c r="Q182" s="128"/>
      <c r="R182" s="107"/>
      <c r="S182" s="107"/>
      <c r="T182" s="107"/>
      <c r="U182" s="107"/>
      <c r="V182" s="107"/>
      <c r="W182" s="107"/>
      <c r="X182" s="129"/>
      <c r="Y182" s="129"/>
      <c r="Z182" s="129"/>
      <c r="AA182" s="129"/>
      <c r="AB182" s="129"/>
      <c r="AC182" s="107"/>
      <c r="AD182" s="107"/>
      <c r="AE182" s="107"/>
      <c r="AF182" s="129"/>
    </row>
    <row r="183" spans="2:32" x14ac:dyDescent="0.25">
      <c r="B183" s="3"/>
      <c r="C183" s="107"/>
      <c r="D183" s="107"/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107"/>
      <c r="P183" s="107"/>
      <c r="Q183" s="128"/>
      <c r="R183" s="107"/>
      <c r="S183" s="107"/>
      <c r="T183" s="107"/>
      <c r="U183" s="107"/>
      <c r="V183" s="107"/>
      <c r="W183" s="107"/>
      <c r="X183" s="129"/>
      <c r="Y183" s="129"/>
      <c r="Z183" s="129"/>
      <c r="AA183" s="129"/>
      <c r="AB183" s="129"/>
      <c r="AC183" s="107"/>
      <c r="AD183" s="107"/>
      <c r="AE183" s="107"/>
      <c r="AF183" s="129"/>
    </row>
    <row r="184" spans="2:32" x14ac:dyDescent="0.25">
      <c r="B184" s="3"/>
      <c r="C184" s="107"/>
      <c r="D184" s="107"/>
      <c r="E184" s="107"/>
      <c r="F184" s="107"/>
      <c r="G184" s="107"/>
      <c r="H184" s="107"/>
      <c r="I184" s="107"/>
      <c r="J184" s="107"/>
      <c r="K184" s="107"/>
      <c r="L184" s="107"/>
      <c r="M184" s="107"/>
      <c r="N184" s="107"/>
      <c r="O184" s="107"/>
      <c r="P184" s="107"/>
      <c r="Q184" s="128"/>
      <c r="R184" s="107"/>
      <c r="S184" s="107"/>
      <c r="T184" s="107"/>
      <c r="U184" s="107"/>
      <c r="V184" s="107"/>
      <c r="W184" s="107"/>
      <c r="X184" s="129"/>
      <c r="Y184" s="129"/>
      <c r="Z184" s="129"/>
      <c r="AA184" s="129"/>
      <c r="AB184" s="129"/>
      <c r="AC184" s="107"/>
      <c r="AD184" s="107"/>
      <c r="AE184" s="107"/>
      <c r="AF184" s="129"/>
    </row>
    <row r="185" spans="2:32" x14ac:dyDescent="0.25">
      <c r="B185" s="3"/>
      <c r="C185" s="107"/>
      <c r="D185" s="107"/>
      <c r="E185" s="107"/>
      <c r="F185" s="107"/>
      <c r="G185" s="107"/>
      <c r="H185" s="107"/>
      <c r="I185" s="107"/>
      <c r="J185" s="107"/>
      <c r="K185" s="107"/>
      <c r="L185" s="107"/>
      <c r="M185" s="107"/>
      <c r="N185" s="107"/>
      <c r="O185" s="107"/>
      <c r="P185" s="107"/>
      <c r="Q185" s="128"/>
      <c r="R185" s="107"/>
      <c r="S185" s="107"/>
      <c r="T185" s="107"/>
      <c r="U185" s="107"/>
      <c r="V185" s="107"/>
      <c r="W185" s="107"/>
      <c r="X185" s="129"/>
      <c r="Y185" s="129"/>
      <c r="Z185" s="129"/>
      <c r="AA185" s="129"/>
      <c r="AB185" s="129"/>
      <c r="AC185" s="107"/>
      <c r="AD185" s="107"/>
      <c r="AE185" s="107"/>
      <c r="AF185" s="129"/>
    </row>
    <row r="186" spans="2:32" x14ac:dyDescent="0.25">
      <c r="B186" s="3"/>
      <c r="C186" s="107"/>
      <c r="D186" s="107"/>
      <c r="E186" s="107"/>
      <c r="F186" s="107"/>
      <c r="G186" s="107"/>
      <c r="H186" s="107"/>
      <c r="I186" s="107"/>
      <c r="J186" s="107"/>
      <c r="K186" s="107"/>
      <c r="L186" s="107"/>
      <c r="M186" s="107"/>
      <c r="N186" s="107"/>
      <c r="O186" s="107"/>
      <c r="P186" s="107"/>
      <c r="Q186" s="128"/>
      <c r="R186" s="107"/>
      <c r="S186" s="107"/>
      <c r="T186" s="107"/>
      <c r="U186" s="107"/>
      <c r="V186" s="107"/>
      <c r="W186" s="107"/>
      <c r="X186" s="129"/>
      <c r="Y186" s="129"/>
      <c r="Z186" s="129"/>
      <c r="AA186" s="129"/>
      <c r="AB186" s="129"/>
      <c r="AC186" s="107"/>
      <c r="AD186" s="107"/>
      <c r="AE186" s="107"/>
      <c r="AF186" s="129"/>
    </row>
    <row r="187" spans="2:32" x14ac:dyDescent="0.25">
      <c r="B187" s="3"/>
      <c r="C187" s="107"/>
      <c r="D187" s="107"/>
      <c r="E187" s="107"/>
      <c r="F187" s="107"/>
      <c r="G187" s="107"/>
      <c r="H187" s="107"/>
      <c r="I187" s="107"/>
      <c r="J187" s="107"/>
      <c r="K187" s="107"/>
      <c r="L187" s="107"/>
      <c r="M187" s="107"/>
      <c r="N187" s="107"/>
      <c r="O187" s="107"/>
      <c r="P187" s="107"/>
      <c r="Q187" s="128"/>
      <c r="R187" s="107"/>
      <c r="S187" s="107"/>
      <c r="T187" s="107"/>
      <c r="U187" s="107"/>
      <c r="V187" s="107"/>
      <c r="W187" s="107"/>
      <c r="X187" s="129"/>
      <c r="Y187" s="129"/>
      <c r="Z187" s="129"/>
      <c r="AA187" s="129"/>
      <c r="AB187" s="129"/>
      <c r="AC187" s="107"/>
      <c r="AD187" s="107"/>
      <c r="AE187" s="107"/>
      <c r="AF187" s="129"/>
    </row>
    <row r="188" spans="2:32" x14ac:dyDescent="0.25">
      <c r="B188" s="3"/>
      <c r="C188" s="107"/>
      <c r="D188" s="107"/>
      <c r="E188" s="107"/>
      <c r="F188" s="107"/>
      <c r="G188" s="107"/>
      <c r="H188" s="107"/>
      <c r="I188" s="107"/>
      <c r="J188" s="107"/>
      <c r="K188" s="107"/>
      <c r="L188" s="107"/>
      <c r="M188" s="107"/>
      <c r="N188" s="107"/>
      <c r="O188" s="107"/>
      <c r="P188" s="107"/>
      <c r="Q188" s="128"/>
      <c r="R188" s="107"/>
      <c r="S188" s="107"/>
      <c r="T188" s="107"/>
      <c r="U188" s="107"/>
      <c r="V188" s="107"/>
      <c r="W188" s="107"/>
      <c r="X188" s="129"/>
      <c r="Y188" s="129"/>
      <c r="Z188" s="129"/>
      <c r="AA188" s="129"/>
      <c r="AB188" s="129"/>
      <c r="AC188" s="107"/>
      <c r="AD188" s="107"/>
      <c r="AE188" s="107"/>
      <c r="AF188" s="129"/>
    </row>
    <row r="189" spans="2:32" x14ac:dyDescent="0.25">
      <c r="B189" s="3"/>
      <c r="C189" s="107"/>
      <c r="D189" s="107"/>
      <c r="E189" s="107"/>
      <c r="F189" s="107"/>
      <c r="G189" s="107"/>
      <c r="H189" s="107"/>
      <c r="I189" s="107"/>
      <c r="J189" s="107"/>
      <c r="K189" s="107"/>
      <c r="L189" s="107"/>
      <c r="M189" s="107"/>
      <c r="N189" s="107"/>
      <c r="O189" s="107"/>
      <c r="P189" s="107"/>
      <c r="Q189" s="128"/>
      <c r="R189" s="107"/>
      <c r="S189" s="107"/>
      <c r="T189" s="107"/>
      <c r="U189" s="107"/>
      <c r="V189" s="107"/>
      <c r="W189" s="107"/>
      <c r="X189" s="129"/>
      <c r="Y189" s="129"/>
      <c r="Z189" s="129"/>
      <c r="AA189" s="129"/>
      <c r="AB189" s="129"/>
      <c r="AC189" s="107"/>
      <c r="AD189" s="107"/>
      <c r="AE189" s="107"/>
      <c r="AF189" s="129"/>
    </row>
    <row r="190" spans="2:32" x14ac:dyDescent="0.25">
      <c r="B190" s="3"/>
      <c r="C190" s="107"/>
      <c r="D190" s="107"/>
      <c r="E190" s="107"/>
      <c r="F190" s="107"/>
      <c r="G190" s="107"/>
      <c r="H190" s="107"/>
      <c r="I190" s="107"/>
      <c r="J190" s="107"/>
      <c r="K190" s="107"/>
      <c r="L190" s="107"/>
      <c r="M190" s="107"/>
      <c r="N190" s="107"/>
      <c r="O190" s="107"/>
      <c r="P190" s="107"/>
      <c r="Q190" s="128"/>
      <c r="R190" s="107"/>
      <c r="S190" s="107"/>
      <c r="T190" s="107"/>
      <c r="U190" s="107"/>
      <c r="V190" s="107"/>
      <c r="W190" s="107"/>
      <c r="X190" s="129"/>
      <c r="Y190" s="129"/>
      <c r="Z190" s="129"/>
      <c r="AA190" s="129"/>
      <c r="AB190" s="129"/>
      <c r="AC190" s="107"/>
      <c r="AD190" s="107"/>
      <c r="AE190" s="107"/>
      <c r="AF190" s="129"/>
    </row>
    <row r="191" spans="2:32" x14ac:dyDescent="0.25">
      <c r="B191" s="3"/>
      <c r="C191" s="107"/>
      <c r="D191" s="107"/>
      <c r="E191" s="107"/>
      <c r="F191" s="107"/>
      <c r="G191" s="107"/>
      <c r="H191" s="107"/>
      <c r="I191" s="107"/>
      <c r="J191" s="107"/>
      <c r="K191" s="107"/>
      <c r="L191" s="107"/>
      <c r="M191" s="107"/>
      <c r="N191" s="107"/>
      <c r="O191" s="107"/>
      <c r="P191" s="107"/>
      <c r="Q191" s="128"/>
      <c r="R191" s="107"/>
      <c r="S191" s="107"/>
      <c r="T191" s="107"/>
      <c r="U191" s="107"/>
      <c r="V191" s="107"/>
      <c r="W191" s="107"/>
      <c r="X191" s="129"/>
      <c r="Y191" s="129"/>
      <c r="Z191" s="129"/>
      <c r="AA191" s="129"/>
      <c r="AB191" s="129"/>
      <c r="AC191" s="107"/>
      <c r="AD191" s="107"/>
      <c r="AE191" s="107"/>
      <c r="AF191" s="129"/>
    </row>
    <row r="192" spans="2:32" x14ac:dyDescent="0.25">
      <c r="B192" s="3"/>
      <c r="C192" s="107"/>
      <c r="D192" s="107"/>
      <c r="E192" s="107"/>
      <c r="F192" s="107"/>
      <c r="G192" s="107"/>
      <c r="H192" s="107"/>
      <c r="I192" s="107"/>
      <c r="J192" s="107"/>
      <c r="K192" s="107"/>
      <c r="L192" s="107"/>
      <c r="M192" s="107"/>
      <c r="N192" s="107"/>
      <c r="O192" s="107"/>
      <c r="P192" s="107"/>
      <c r="Q192" s="128"/>
      <c r="R192" s="107"/>
      <c r="S192" s="107"/>
      <c r="T192" s="107"/>
      <c r="U192" s="107"/>
      <c r="V192" s="107"/>
      <c r="W192" s="107"/>
      <c r="X192" s="129"/>
      <c r="Y192" s="129"/>
      <c r="Z192" s="129"/>
      <c r="AA192" s="129"/>
      <c r="AB192" s="129"/>
      <c r="AC192" s="107"/>
      <c r="AD192" s="107"/>
      <c r="AE192" s="107"/>
      <c r="AF192" s="129"/>
    </row>
    <row r="193" spans="2:35" x14ac:dyDescent="0.25">
      <c r="B193" s="3"/>
      <c r="C193" s="107"/>
      <c r="D193" s="107"/>
      <c r="E193" s="107"/>
      <c r="F193" s="107"/>
      <c r="G193" s="107"/>
      <c r="H193" s="107"/>
      <c r="I193" s="107"/>
      <c r="J193" s="107"/>
      <c r="K193" s="107"/>
      <c r="L193" s="107"/>
      <c r="M193" s="107"/>
      <c r="N193" s="107"/>
      <c r="O193" s="107"/>
      <c r="P193" s="107"/>
      <c r="Q193" s="128"/>
      <c r="R193" s="107"/>
      <c r="S193" s="107"/>
      <c r="T193" s="107"/>
      <c r="U193" s="107"/>
      <c r="V193" s="107"/>
      <c r="W193" s="107"/>
      <c r="X193" s="129"/>
      <c r="Y193" s="129"/>
      <c r="Z193" s="129"/>
      <c r="AA193" s="129"/>
      <c r="AB193" s="129"/>
      <c r="AC193" s="107"/>
      <c r="AD193" s="107"/>
      <c r="AE193" s="107"/>
      <c r="AF193" s="129"/>
    </row>
    <row r="194" spans="2:35" x14ac:dyDescent="0.25">
      <c r="B194" s="3"/>
      <c r="C194" s="107"/>
      <c r="D194" s="107"/>
      <c r="E194" s="107"/>
      <c r="F194" s="107"/>
      <c r="G194" s="107"/>
      <c r="H194" s="107"/>
      <c r="I194" s="107"/>
      <c r="J194" s="107"/>
      <c r="K194" s="107"/>
      <c r="L194" s="107"/>
      <c r="M194" s="107"/>
      <c r="N194" s="107"/>
      <c r="O194" s="107"/>
      <c r="P194" s="107"/>
      <c r="Q194" s="128"/>
      <c r="R194" s="107"/>
      <c r="S194" s="107"/>
      <c r="T194" s="107"/>
      <c r="U194" s="107"/>
      <c r="V194" s="107"/>
      <c r="W194" s="107"/>
      <c r="X194" s="129"/>
      <c r="Y194" s="129"/>
      <c r="Z194" s="129"/>
      <c r="AA194" s="129"/>
      <c r="AB194" s="129"/>
      <c r="AC194" s="107"/>
      <c r="AD194" s="107"/>
      <c r="AE194" s="107"/>
      <c r="AF194" s="129"/>
    </row>
    <row r="195" spans="2:35" x14ac:dyDescent="0.25">
      <c r="B195" s="3" t="s">
        <v>114</v>
      </c>
      <c r="C195" s="2"/>
      <c r="D195" s="2"/>
      <c r="E195" s="2"/>
      <c r="F195" s="2"/>
      <c r="G195" s="2"/>
      <c r="H195" s="2"/>
      <c r="I195" s="2"/>
      <c r="J195" s="2"/>
      <c r="K195" s="2"/>
      <c r="L195" s="2"/>
      <c r="M195"/>
      <c r="Q195" s="109"/>
      <c r="R195" s="115"/>
      <c r="S195" s="115"/>
      <c r="T195" s="115"/>
      <c r="U195" s="115"/>
      <c r="V195" s="115"/>
      <c r="W195" s="115"/>
      <c r="X195" s="122"/>
      <c r="Y195" s="122"/>
      <c r="Z195" s="122"/>
      <c r="AA195" s="122"/>
      <c r="AB195" s="122"/>
      <c r="AC195" s="121"/>
      <c r="AD195" s="121"/>
      <c r="AE195" s="121"/>
      <c r="AF195" s="83"/>
    </row>
    <row r="196" spans="2:35" x14ac:dyDescent="0.25">
      <c r="B196" s="3" t="s">
        <v>200</v>
      </c>
      <c r="C196" s="5">
        <f>250</f>
        <v>250</v>
      </c>
      <c r="D196" s="2"/>
      <c r="E196" s="2"/>
      <c r="F196" s="2"/>
      <c r="G196" s="2"/>
      <c r="H196" s="2"/>
      <c r="I196" s="2"/>
      <c r="J196" s="2"/>
      <c r="K196" s="5">
        <f t="shared" ref="K196" si="49">(((G196)+(H196))+(I196))+(J196)</f>
        <v>0</v>
      </c>
      <c r="L196" s="5">
        <f t="shared" ref="L196" si="50">((((C196)+(D196))+(E196))+(F196))+(K196)</f>
        <v>250</v>
      </c>
      <c r="M196" s="167"/>
      <c r="N196" s="167">
        <v>3000</v>
      </c>
      <c r="O196" s="167"/>
      <c r="P196" s="167">
        <f>SUM(N196:O196)</f>
        <v>3000</v>
      </c>
      <c r="Q196" s="168">
        <f>+P196+C196</f>
        <v>3250</v>
      </c>
      <c r="R196" s="115"/>
      <c r="S196" s="115"/>
      <c r="T196" s="115"/>
      <c r="U196" s="121">
        <f t="shared" ref="U196:U213" si="51">SUM(S196:T196)</f>
        <v>0</v>
      </c>
      <c r="V196" s="121">
        <f>+U196+K196</f>
        <v>0</v>
      </c>
      <c r="W196" s="121"/>
      <c r="X196" s="122">
        <f t="shared" ref="X196:X213" si="52">+V196+Q196</f>
        <v>3250</v>
      </c>
      <c r="Y196" s="122">
        <v>3000</v>
      </c>
      <c r="Z196" s="122"/>
      <c r="AA196" s="122">
        <f>+Y196+Z196</f>
        <v>3000</v>
      </c>
      <c r="AB196" s="122">
        <f>+AA196-X196</f>
        <v>-250</v>
      </c>
      <c r="AC196" s="121"/>
      <c r="AD196" s="121">
        <v>2500</v>
      </c>
      <c r="AE196" s="121">
        <f>5000-2500</f>
        <v>2500</v>
      </c>
      <c r="AF196" s="83">
        <f>+AD196+AE196</f>
        <v>5000</v>
      </c>
    </row>
    <row r="197" spans="2:35" x14ac:dyDescent="0.25">
      <c r="B197" s="101" t="s">
        <v>210</v>
      </c>
      <c r="C197" s="5"/>
      <c r="D197" s="2"/>
      <c r="E197" s="2"/>
      <c r="F197" s="2"/>
      <c r="G197" s="2"/>
      <c r="H197" s="2"/>
      <c r="I197" s="2"/>
      <c r="J197" s="2"/>
      <c r="K197" s="5"/>
      <c r="L197" s="5"/>
      <c r="M197" s="167"/>
      <c r="N197" s="167"/>
      <c r="O197" s="167">
        <f>9000</f>
        <v>9000</v>
      </c>
      <c r="P197" s="167">
        <f t="shared" ref="P197:P213" si="53">SUM(N197:O197)</f>
        <v>9000</v>
      </c>
      <c r="Q197" s="168">
        <f t="shared" ref="Q197:Q213" si="54">+P197+C197</f>
        <v>9000</v>
      </c>
      <c r="R197" s="121"/>
      <c r="S197" s="121"/>
      <c r="T197" s="121"/>
      <c r="U197" s="121">
        <f t="shared" si="51"/>
        <v>0</v>
      </c>
      <c r="V197" s="121">
        <f t="shared" ref="V197:V213" si="55">+U197+K197</f>
        <v>0</v>
      </c>
      <c r="W197" s="121"/>
      <c r="X197" s="122">
        <f t="shared" si="52"/>
        <v>9000</v>
      </c>
      <c r="Y197" s="122"/>
      <c r="Z197" s="122">
        <v>18000</v>
      </c>
      <c r="AA197" s="122">
        <f t="shared" ref="AA197:AA213" si="56">+Y197+Z197</f>
        <v>18000</v>
      </c>
      <c r="AB197" s="122">
        <f t="shared" ref="AB197:AB213" si="57">+AA197-X197</f>
        <v>9000</v>
      </c>
      <c r="AC197" s="121"/>
      <c r="AD197" s="121"/>
      <c r="AE197" s="121">
        <v>12000</v>
      </c>
      <c r="AF197" s="83">
        <f t="shared" ref="AF197:AF213" si="58">+AD197+AE197</f>
        <v>12000</v>
      </c>
    </row>
    <row r="198" spans="2:35" x14ac:dyDescent="0.25">
      <c r="B198" s="3" t="s">
        <v>250</v>
      </c>
      <c r="C198" s="5"/>
      <c r="D198" s="2"/>
      <c r="E198" s="2"/>
      <c r="F198" s="2"/>
      <c r="G198" s="2"/>
      <c r="H198" s="2"/>
      <c r="I198" s="2"/>
      <c r="J198" s="2"/>
      <c r="K198" s="5"/>
      <c r="L198" s="5"/>
      <c r="M198" s="167"/>
      <c r="N198" s="167"/>
      <c r="O198" s="167"/>
      <c r="P198" s="167">
        <f t="shared" si="53"/>
        <v>0</v>
      </c>
      <c r="Q198" s="168"/>
      <c r="R198" s="121"/>
      <c r="S198" s="121"/>
      <c r="T198" s="121"/>
      <c r="U198" s="121">
        <f t="shared" si="51"/>
        <v>0</v>
      </c>
      <c r="V198" s="121"/>
      <c r="W198" s="121"/>
      <c r="X198" s="122"/>
      <c r="Y198" s="122"/>
      <c r="Z198" s="122"/>
      <c r="AA198" s="122"/>
      <c r="AB198" s="122"/>
      <c r="AC198" s="121"/>
      <c r="AD198" s="121"/>
      <c r="AE198" s="121">
        <v>10000</v>
      </c>
      <c r="AF198" s="83">
        <f t="shared" si="58"/>
        <v>10000</v>
      </c>
    </row>
    <row r="199" spans="2:35" x14ac:dyDescent="0.25">
      <c r="B199" s="3" t="s">
        <v>113</v>
      </c>
      <c r="C199" s="2"/>
      <c r="D199" s="2"/>
      <c r="E199" s="2"/>
      <c r="F199" s="2"/>
      <c r="G199" s="2"/>
      <c r="H199" s="2"/>
      <c r="I199" s="5">
        <f>572.02</f>
        <v>572.02</v>
      </c>
      <c r="J199" s="2"/>
      <c r="K199" s="5">
        <f t="shared" ref="K199:K201" si="59">(((G199)+(H199))+(I199))+(J199)</f>
        <v>572.02</v>
      </c>
      <c r="L199" s="5">
        <f t="shared" ref="L199:L201" si="60">((((C199)+(D199))+(E199))+(F199))+(K199)</f>
        <v>572.02</v>
      </c>
      <c r="M199" s="167"/>
      <c r="N199" s="167"/>
      <c r="O199" s="167"/>
      <c r="P199" s="167">
        <f t="shared" si="53"/>
        <v>0</v>
      </c>
      <c r="Q199" s="168">
        <f t="shared" si="54"/>
        <v>0</v>
      </c>
      <c r="R199" s="121"/>
      <c r="S199" s="121"/>
      <c r="T199" s="121"/>
      <c r="U199" s="121">
        <f t="shared" si="51"/>
        <v>0</v>
      </c>
      <c r="V199" s="121">
        <f t="shared" si="55"/>
        <v>572.02</v>
      </c>
      <c r="W199" s="121"/>
      <c r="X199" s="122">
        <f t="shared" si="52"/>
        <v>572.02</v>
      </c>
      <c r="Y199" s="122">
        <v>50</v>
      </c>
      <c r="Z199" s="122"/>
      <c r="AA199" s="122">
        <f t="shared" si="56"/>
        <v>50</v>
      </c>
      <c r="AB199" s="122">
        <f t="shared" si="57"/>
        <v>-522.02</v>
      </c>
      <c r="AC199" s="121"/>
      <c r="AD199" s="121">
        <v>100</v>
      </c>
      <c r="AE199" s="121"/>
      <c r="AF199" s="83">
        <f t="shared" si="58"/>
        <v>100</v>
      </c>
    </row>
    <row r="200" spans="2:35" x14ac:dyDescent="0.25">
      <c r="B200" s="3" t="s">
        <v>112</v>
      </c>
      <c r="C200" s="2"/>
      <c r="D200" s="2"/>
      <c r="E200" s="2"/>
      <c r="F200" s="2"/>
      <c r="G200" s="2"/>
      <c r="H200" s="2"/>
      <c r="I200" s="5">
        <f>1000</f>
        <v>1000</v>
      </c>
      <c r="J200" s="2"/>
      <c r="K200" s="5">
        <f t="shared" si="59"/>
        <v>1000</v>
      </c>
      <c r="L200" s="5">
        <f t="shared" si="60"/>
        <v>1000</v>
      </c>
      <c r="M200" s="167">
        <v>20</v>
      </c>
      <c r="N200" s="167">
        <v>20</v>
      </c>
      <c r="O200" s="167">
        <v>20</v>
      </c>
      <c r="P200" s="167">
        <f t="shared" si="53"/>
        <v>40</v>
      </c>
      <c r="Q200" s="168">
        <f t="shared" si="54"/>
        <v>40</v>
      </c>
      <c r="R200" s="121">
        <v>80</v>
      </c>
      <c r="S200" s="121">
        <v>80</v>
      </c>
      <c r="T200" s="121">
        <v>80</v>
      </c>
      <c r="U200" s="121">
        <f t="shared" si="51"/>
        <v>160</v>
      </c>
      <c r="V200" s="121">
        <f t="shared" si="55"/>
        <v>1160</v>
      </c>
      <c r="W200" s="121"/>
      <c r="X200" s="122">
        <f t="shared" si="52"/>
        <v>1200</v>
      </c>
      <c r="Y200" s="122">
        <v>1200</v>
      </c>
      <c r="Z200" s="122"/>
      <c r="AA200" s="122">
        <f t="shared" si="56"/>
        <v>1200</v>
      </c>
      <c r="AB200" s="122">
        <f t="shared" si="57"/>
        <v>0</v>
      </c>
      <c r="AC200" s="121"/>
      <c r="AD200" s="121">
        <v>1200</v>
      </c>
      <c r="AE200" s="121"/>
      <c r="AF200" s="83">
        <f t="shared" si="58"/>
        <v>1200</v>
      </c>
      <c r="AI200" s="85"/>
    </row>
    <row r="201" spans="2:35" x14ac:dyDescent="0.25">
      <c r="B201" s="3" t="s">
        <v>111</v>
      </c>
      <c r="C201" s="5">
        <f>183.29</f>
        <v>183.29</v>
      </c>
      <c r="D201" s="2"/>
      <c r="E201" s="2"/>
      <c r="F201" s="2"/>
      <c r="G201" s="2"/>
      <c r="H201" s="2"/>
      <c r="I201" s="2"/>
      <c r="J201" s="2"/>
      <c r="K201" s="5">
        <f t="shared" si="59"/>
        <v>0</v>
      </c>
      <c r="L201" s="5">
        <f t="shared" si="60"/>
        <v>183.29</v>
      </c>
      <c r="M201" s="167"/>
      <c r="N201" s="167">
        <v>600</v>
      </c>
      <c r="O201" s="167"/>
      <c r="P201" s="167">
        <f t="shared" si="53"/>
        <v>600</v>
      </c>
      <c r="Q201" s="168">
        <f t="shared" si="54"/>
        <v>783.29</v>
      </c>
      <c r="R201" s="121"/>
      <c r="S201" s="121"/>
      <c r="T201" s="121"/>
      <c r="U201" s="121">
        <f t="shared" si="51"/>
        <v>0</v>
      </c>
      <c r="V201" s="121">
        <f t="shared" si="55"/>
        <v>0</v>
      </c>
      <c r="W201" s="121"/>
      <c r="X201" s="122">
        <f t="shared" si="52"/>
        <v>783.29</v>
      </c>
      <c r="Y201" s="122">
        <v>1000</v>
      </c>
      <c r="Z201" s="122"/>
      <c r="AA201" s="122">
        <f t="shared" si="56"/>
        <v>1000</v>
      </c>
      <c r="AB201" s="122">
        <f t="shared" si="57"/>
        <v>216.71000000000004</v>
      </c>
      <c r="AC201" s="121"/>
      <c r="AD201" s="121">
        <f>1000</f>
        <v>1000</v>
      </c>
      <c r="AE201" s="121">
        <v>5175</v>
      </c>
      <c r="AF201" s="83">
        <f t="shared" si="58"/>
        <v>6175</v>
      </c>
    </row>
    <row r="202" spans="2:35" x14ac:dyDescent="0.25">
      <c r="B202" s="3" t="s">
        <v>204</v>
      </c>
      <c r="C202" s="5"/>
      <c r="D202" s="2"/>
      <c r="E202" s="2"/>
      <c r="F202" s="2"/>
      <c r="G202" s="2"/>
      <c r="H202" s="2"/>
      <c r="I202" s="2"/>
      <c r="J202" s="2"/>
      <c r="K202" s="5"/>
      <c r="L202" s="5"/>
      <c r="M202" s="167"/>
      <c r="N202" s="167"/>
      <c r="O202" s="167"/>
      <c r="P202" s="167">
        <f t="shared" si="53"/>
        <v>0</v>
      </c>
      <c r="Q202" s="168"/>
      <c r="R202" s="121"/>
      <c r="S202" s="121"/>
      <c r="T202" s="121"/>
      <c r="U202" s="121">
        <f t="shared" si="51"/>
        <v>0</v>
      </c>
      <c r="V202" s="121"/>
      <c r="W202" s="121"/>
      <c r="X202" s="122"/>
      <c r="Y202" s="122">
        <v>500</v>
      </c>
      <c r="Z202" s="122"/>
      <c r="AA202" s="122">
        <f t="shared" si="56"/>
        <v>500</v>
      </c>
      <c r="AB202" s="122">
        <f t="shared" si="57"/>
        <v>500</v>
      </c>
      <c r="AC202" s="121"/>
      <c r="AD202" s="121"/>
      <c r="AE202" s="121"/>
      <c r="AF202" s="83">
        <f t="shared" si="58"/>
        <v>0</v>
      </c>
    </row>
    <row r="203" spans="2:35" x14ac:dyDescent="0.25">
      <c r="B203" s="3" t="s">
        <v>110</v>
      </c>
      <c r="C203" s="2"/>
      <c r="D203" s="2"/>
      <c r="E203" s="2"/>
      <c r="F203" s="2"/>
      <c r="G203" s="2"/>
      <c r="H203" s="2"/>
      <c r="I203" s="5">
        <f>818.63</f>
        <v>818.63</v>
      </c>
      <c r="J203" s="2"/>
      <c r="K203" s="5">
        <f t="shared" ref="K203:K205" si="61">(((G203)+(H203))+(I203))+(J203)</f>
        <v>818.63</v>
      </c>
      <c r="L203" s="5">
        <f t="shared" ref="L203:L205" si="62">((((C203)+(D203))+(E203))+(F203))+(K203)</f>
        <v>818.63</v>
      </c>
      <c r="M203" s="167"/>
      <c r="N203" s="167"/>
      <c r="O203" s="167"/>
      <c r="P203" s="167">
        <f t="shared" si="53"/>
        <v>0</v>
      </c>
      <c r="Q203" s="168">
        <f t="shared" si="54"/>
        <v>0</v>
      </c>
      <c r="R203" s="121"/>
      <c r="S203" s="121"/>
      <c r="T203" s="121"/>
      <c r="U203" s="121">
        <f t="shared" si="51"/>
        <v>0</v>
      </c>
      <c r="V203" s="121">
        <f t="shared" si="55"/>
        <v>818.63</v>
      </c>
      <c r="W203" s="121"/>
      <c r="X203" s="122">
        <f t="shared" si="52"/>
        <v>818.63</v>
      </c>
      <c r="Y203" s="122"/>
      <c r="Z203" s="122"/>
      <c r="AA203" s="122">
        <f t="shared" si="56"/>
        <v>0</v>
      </c>
      <c r="AB203" s="122">
        <f t="shared" si="57"/>
        <v>-818.63</v>
      </c>
      <c r="AC203" s="121"/>
      <c r="AD203" s="121"/>
      <c r="AE203" s="121"/>
      <c r="AF203" s="83">
        <f t="shared" si="58"/>
        <v>0</v>
      </c>
    </row>
    <row r="204" spans="2:35" x14ac:dyDescent="0.25">
      <c r="B204" s="3" t="s">
        <v>109</v>
      </c>
      <c r="C204" s="5">
        <f>576.75</f>
        <v>576.75</v>
      </c>
      <c r="D204" s="2"/>
      <c r="E204" s="2"/>
      <c r="F204" s="2"/>
      <c r="G204" s="2"/>
      <c r="H204" s="5">
        <f>250</f>
        <v>250</v>
      </c>
      <c r="I204" s="2"/>
      <c r="J204" s="2"/>
      <c r="K204" s="5">
        <f t="shared" si="61"/>
        <v>250</v>
      </c>
      <c r="L204" s="5">
        <f t="shared" si="62"/>
        <v>826.75</v>
      </c>
      <c r="M204" s="167"/>
      <c r="N204" s="167">
        <v>350</v>
      </c>
      <c r="O204" s="167"/>
      <c r="P204" s="167">
        <f t="shared" si="53"/>
        <v>350</v>
      </c>
      <c r="Q204" s="168">
        <f t="shared" si="54"/>
        <v>926.75</v>
      </c>
      <c r="R204" s="121"/>
      <c r="S204" s="121"/>
      <c r="T204" s="121"/>
      <c r="U204" s="121">
        <f t="shared" si="51"/>
        <v>0</v>
      </c>
      <c r="V204" s="121">
        <f t="shared" si="55"/>
        <v>250</v>
      </c>
      <c r="W204" s="121"/>
      <c r="X204" s="122">
        <f t="shared" si="52"/>
        <v>1176.75</v>
      </c>
      <c r="Y204" s="122">
        <v>6500</v>
      </c>
      <c r="Z204" s="122"/>
      <c r="AA204" s="122">
        <f t="shared" si="56"/>
        <v>6500</v>
      </c>
      <c r="AB204" s="122">
        <f t="shared" si="57"/>
        <v>5323.25</v>
      </c>
      <c r="AC204" s="121"/>
      <c r="AD204" s="121">
        <v>3750</v>
      </c>
      <c r="AE204" s="121">
        <v>1250</v>
      </c>
      <c r="AF204" s="83">
        <f t="shared" si="58"/>
        <v>5000</v>
      </c>
    </row>
    <row r="205" spans="2:35" x14ac:dyDescent="0.25">
      <c r="B205" s="3" t="s">
        <v>265</v>
      </c>
      <c r="C205" s="5">
        <f>12000</f>
        <v>12000</v>
      </c>
      <c r="D205" s="2"/>
      <c r="E205" s="2"/>
      <c r="F205" s="2"/>
      <c r="G205" s="2"/>
      <c r="H205" s="2"/>
      <c r="I205" s="2"/>
      <c r="J205" s="5">
        <f>18000</f>
        <v>18000</v>
      </c>
      <c r="K205" s="5">
        <f t="shared" si="61"/>
        <v>18000</v>
      </c>
      <c r="L205" s="5">
        <f t="shared" si="62"/>
        <v>30000</v>
      </c>
      <c r="M205" s="167">
        <v>1501.2</v>
      </c>
      <c r="N205" s="167"/>
      <c r="O205" s="167"/>
      <c r="P205" s="167">
        <f t="shared" si="53"/>
        <v>0</v>
      </c>
      <c r="Q205" s="168">
        <f t="shared" si="54"/>
        <v>12000</v>
      </c>
      <c r="R205" s="121">
        <v>6004.8</v>
      </c>
      <c r="S205" s="121"/>
      <c r="T205" s="121"/>
      <c r="U205" s="121">
        <f t="shared" si="51"/>
        <v>0</v>
      </c>
      <c r="V205" s="121">
        <f t="shared" si="55"/>
        <v>18000</v>
      </c>
      <c r="W205" s="121"/>
      <c r="X205" s="122">
        <f t="shared" si="52"/>
        <v>30000</v>
      </c>
      <c r="Y205" s="122">
        <v>33000</v>
      </c>
      <c r="Z205" s="122"/>
      <c r="AA205" s="122">
        <f t="shared" si="56"/>
        <v>33000</v>
      </c>
      <c r="AB205" s="122">
        <f t="shared" si="57"/>
        <v>3000</v>
      </c>
      <c r="AC205" s="121"/>
      <c r="AD205" s="121" t="e">
        <f>+#REF!+#REF!</f>
        <v>#REF!</v>
      </c>
      <c r="AE205" s="121"/>
      <c r="AF205" s="83" t="e">
        <f t="shared" si="58"/>
        <v>#REF!</v>
      </c>
    </row>
    <row r="206" spans="2:35" x14ac:dyDescent="0.25">
      <c r="B206" s="101" t="s">
        <v>107</v>
      </c>
      <c r="C206" s="5"/>
      <c r="D206" s="2"/>
      <c r="E206" s="2"/>
      <c r="F206" s="2"/>
      <c r="G206" s="2"/>
      <c r="H206" s="2"/>
      <c r="I206" s="2"/>
      <c r="J206" s="5"/>
      <c r="K206" s="5"/>
      <c r="L206" s="5"/>
      <c r="M206" s="167"/>
      <c r="N206" s="167">
        <v>786.24</v>
      </c>
      <c r="O206" s="167"/>
      <c r="P206" s="167">
        <f t="shared" si="53"/>
        <v>786.24</v>
      </c>
      <c r="Q206" s="168">
        <f t="shared" si="54"/>
        <v>786.24</v>
      </c>
      <c r="R206" s="121"/>
      <c r="S206" s="121"/>
      <c r="T206" s="121"/>
      <c r="U206" s="121">
        <f t="shared" si="51"/>
        <v>0</v>
      </c>
      <c r="V206" s="121">
        <f t="shared" si="55"/>
        <v>0</v>
      </c>
      <c r="W206" s="121"/>
      <c r="X206" s="122">
        <f t="shared" si="52"/>
        <v>786.24</v>
      </c>
      <c r="Y206" s="122">
        <v>50</v>
      </c>
      <c r="Z206" s="122"/>
      <c r="AA206" s="122">
        <f t="shared" si="56"/>
        <v>50</v>
      </c>
      <c r="AB206" s="122">
        <f t="shared" si="57"/>
        <v>-736.24</v>
      </c>
      <c r="AC206" s="121"/>
      <c r="AD206" s="121">
        <v>50</v>
      </c>
      <c r="AE206" s="121"/>
      <c r="AF206" s="83">
        <f t="shared" si="58"/>
        <v>50</v>
      </c>
    </row>
    <row r="207" spans="2:35" x14ac:dyDescent="0.25">
      <c r="B207" s="3" t="s">
        <v>106</v>
      </c>
      <c r="C207" s="5">
        <f>1000</f>
        <v>1000</v>
      </c>
      <c r="D207" s="2"/>
      <c r="E207" s="2"/>
      <c r="F207" s="2"/>
      <c r="G207" s="2"/>
      <c r="H207" s="2"/>
      <c r="I207" s="2"/>
      <c r="J207" s="2"/>
      <c r="K207" s="5">
        <f t="shared" ref="K207" si="63">(((G207)+(H207))+(I207))+(J207)</f>
        <v>0</v>
      </c>
      <c r="L207" s="5">
        <f t="shared" ref="L207" si="64">((((C207)+(D207))+(E207))+(F207))+(K207)</f>
        <v>1000</v>
      </c>
      <c r="M207" s="167">
        <v>100</v>
      </c>
      <c r="N207" s="167">
        <v>100</v>
      </c>
      <c r="O207" s="167">
        <v>100</v>
      </c>
      <c r="P207" s="167">
        <f t="shared" si="53"/>
        <v>200</v>
      </c>
      <c r="Q207" s="168">
        <f t="shared" si="54"/>
        <v>1200</v>
      </c>
      <c r="R207" s="121"/>
      <c r="S207" s="121"/>
      <c r="T207" s="121"/>
      <c r="U207" s="121">
        <f t="shared" si="51"/>
        <v>0</v>
      </c>
      <c r="V207" s="121">
        <f t="shared" si="55"/>
        <v>0</v>
      </c>
      <c r="W207" s="121"/>
      <c r="X207" s="122">
        <f t="shared" si="52"/>
        <v>1200</v>
      </c>
      <c r="Y207" s="122">
        <v>3500</v>
      </c>
      <c r="Z207" s="122"/>
      <c r="AA207" s="122">
        <f t="shared" si="56"/>
        <v>3500</v>
      </c>
      <c r="AB207" s="122">
        <f t="shared" si="57"/>
        <v>2300</v>
      </c>
      <c r="AC207" s="121"/>
      <c r="AD207" s="121">
        <f>1000+1000</f>
        <v>2000</v>
      </c>
      <c r="AE207" s="121"/>
      <c r="AF207" s="83">
        <f t="shared" si="58"/>
        <v>2000</v>
      </c>
    </row>
    <row r="208" spans="2:35" x14ac:dyDescent="0.25">
      <c r="B208" s="3" t="s">
        <v>105</v>
      </c>
      <c r="C208" s="5"/>
      <c r="D208" s="2"/>
      <c r="E208" s="2"/>
      <c r="F208" s="2"/>
      <c r="G208" s="2"/>
      <c r="H208" s="2"/>
      <c r="I208" s="2"/>
      <c r="J208" s="2"/>
      <c r="K208" s="5"/>
      <c r="L208" s="5"/>
      <c r="M208" s="167"/>
      <c r="N208" s="167"/>
      <c r="O208" s="167"/>
      <c r="P208" s="167">
        <f t="shared" si="53"/>
        <v>0</v>
      </c>
      <c r="Q208" s="168"/>
      <c r="R208" s="121"/>
      <c r="S208" s="121"/>
      <c r="T208" s="121"/>
      <c r="U208" s="121">
        <f t="shared" si="51"/>
        <v>0</v>
      </c>
      <c r="V208" s="121"/>
      <c r="W208" s="121"/>
      <c r="X208" s="122"/>
      <c r="Y208" s="122">
        <v>550</v>
      </c>
      <c r="Z208" s="122"/>
      <c r="AA208" s="122">
        <f t="shared" si="56"/>
        <v>550</v>
      </c>
      <c r="AB208" s="122">
        <f t="shared" si="57"/>
        <v>550</v>
      </c>
      <c r="AC208" s="121"/>
      <c r="AD208" s="121">
        <v>500</v>
      </c>
      <c r="AE208" s="121"/>
      <c r="AF208" s="83">
        <f t="shared" si="58"/>
        <v>500</v>
      </c>
    </row>
    <row r="209" spans="2:35" x14ac:dyDescent="0.25">
      <c r="B209" s="3" t="s">
        <v>104</v>
      </c>
      <c r="C209" s="2"/>
      <c r="D209" s="2"/>
      <c r="E209" s="2"/>
      <c r="F209" s="2"/>
      <c r="G209" s="2"/>
      <c r="H209" s="2"/>
      <c r="I209" s="2"/>
      <c r="J209" s="2"/>
      <c r="K209" s="5">
        <f t="shared" ref="K209:K213" si="65">(((G209)+(H209))+(I209))+(J209)</f>
        <v>0</v>
      </c>
      <c r="L209" s="5">
        <f t="shared" ref="L209:L213" si="66">((((C209)+(D209))+(E209))+(F209))+(K209)</f>
        <v>0</v>
      </c>
      <c r="M209" s="167"/>
      <c r="N209" s="167"/>
      <c r="O209" s="167"/>
      <c r="P209" s="167">
        <f t="shared" si="53"/>
        <v>0</v>
      </c>
      <c r="Q209" s="168">
        <f t="shared" si="54"/>
        <v>0</v>
      </c>
      <c r="R209" s="121"/>
      <c r="S209" s="121"/>
      <c r="T209" s="121"/>
      <c r="U209" s="121">
        <f t="shared" si="51"/>
        <v>0</v>
      </c>
      <c r="V209" s="121">
        <f t="shared" si="55"/>
        <v>0</v>
      </c>
      <c r="W209" s="121"/>
      <c r="X209" s="122">
        <f t="shared" si="52"/>
        <v>0</v>
      </c>
      <c r="Y209" s="122"/>
      <c r="Z209" s="122"/>
      <c r="AA209" s="122">
        <f t="shared" si="56"/>
        <v>0</v>
      </c>
      <c r="AB209" s="122">
        <f t="shared" si="57"/>
        <v>0</v>
      </c>
      <c r="AC209" s="121"/>
      <c r="AD209" s="121"/>
      <c r="AE209" s="121"/>
      <c r="AF209" s="83">
        <f t="shared" si="58"/>
        <v>0</v>
      </c>
    </row>
    <row r="210" spans="2:35" x14ac:dyDescent="0.25">
      <c r="B210" s="3" t="s">
        <v>103</v>
      </c>
      <c r="C210" s="5">
        <f>2370</f>
        <v>2370</v>
      </c>
      <c r="D210" s="2"/>
      <c r="E210" s="2"/>
      <c r="F210" s="2"/>
      <c r="G210" s="2"/>
      <c r="H210" s="2"/>
      <c r="I210" s="2"/>
      <c r="J210" s="2"/>
      <c r="K210" s="5">
        <f t="shared" si="65"/>
        <v>0</v>
      </c>
      <c r="L210" s="5">
        <f t="shared" si="66"/>
        <v>2370</v>
      </c>
      <c r="M210" s="167"/>
      <c r="N210" s="167"/>
      <c r="O210" s="167"/>
      <c r="P210" s="167">
        <f t="shared" si="53"/>
        <v>0</v>
      </c>
      <c r="Q210" s="168">
        <f t="shared" si="54"/>
        <v>2370</v>
      </c>
      <c r="R210" s="121"/>
      <c r="S210" s="121"/>
      <c r="T210" s="121"/>
      <c r="U210" s="121">
        <f t="shared" si="51"/>
        <v>0</v>
      </c>
      <c r="V210" s="121">
        <f t="shared" si="55"/>
        <v>0</v>
      </c>
      <c r="W210" s="121"/>
      <c r="X210" s="122">
        <f t="shared" si="52"/>
        <v>2370</v>
      </c>
      <c r="Y210" s="122">
        <v>1270</v>
      </c>
      <c r="Z210" s="122"/>
      <c r="AA210" s="122">
        <f t="shared" si="56"/>
        <v>1270</v>
      </c>
      <c r="AB210" s="122">
        <f t="shared" si="57"/>
        <v>-1100</v>
      </c>
      <c r="AC210" s="121"/>
      <c r="AD210" s="121"/>
      <c r="AE210" s="121"/>
      <c r="AF210" s="83">
        <f t="shared" si="58"/>
        <v>0</v>
      </c>
    </row>
    <row r="211" spans="2:35" x14ac:dyDescent="0.25">
      <c r="B211" s="3" t="s">
        <v>102</v>
      </c>
      <c r="C211" s="5">
        <f>66406.6-14000</f>
        <v>52406.600000000006</v>
      </c>
      <c r="D211" s="2"/>
      <c r="E211" s="2"/>
      <c r="F211" s="2"/>
      <c r="G211" s="2"/>
      <c r="H211" s="2"/>
      <c r="I211" s="5">
        <f>42348.4</f>
        <v>42348.4</v>
      </c>
      <c r="J211" s="2"/>
      <c r="K211" s="5">
        <f>(((G211)+(H211))+(I211))+(J211)+14000</f>
        <v>56348.4</v>
      </c>
      <c r="L211" s="5">
        <f t="shared" si="66"/>
        <v>108755</v>
      </c>
      <c r="M211" s="167">
        <v>5500</v>
      </c>
      <c r="N211" s="167">
        <v>5500</v>
      </c>
      <c r="O211" s="167">
        <v>5500</v>
      </c>
      <c r="P211" s="167">
        <f t="shared" si="53"/>
        <v>11000</v>
      </c>
      <c r="Q211" s="168">
        <f t="shared" si="54"/>
        <v>63406.600000000006</v>
      </c>
      <c r="R211" s="121">
        <v>5384.16</v>
      </c>
      <c r="S211" s="121">
        <v>5384.16</v>
      </c>
      <c r="T211" s="121">
        <v>5384.16</v>
      </c>
      <c r="U211" s="121">
        <f t="shared" si="51"/>
        <v>10768.32</v>
      </c>
      <c r="V211" s="121">
        <f t="shared" si="55"/>
        <v>67116.72</v>
      </c>
      <c r="W211" s="121"/>
      <c r="X211" s="122">
        <f t="shared" si="52"/>
        <v>130523.32</v>
      </c>
      <c r="Y211" s="122">
        <v>118050</v>
      </c>
      <c r="Z211" s="122">
        <v>24000</v>
      </c>
      <c r="AA211" s="122">
        <f t="shared" si="56"/>
        <v>142050</v>
      </c>
      <c r="AB211" s="122">
        <f t="shared" si="57"/>
        <v>11526.679999999993</v>
      </c>
      <c r="AC211" s="121"/>
      <c r="AD211" s="121" t="e">
        <f>+#REF!</f>
        <v>#REF!</v>
      </c>
      <c r="AE211" s="121" t="e">
        <f>+#REF!</f>
        <v>#REF!</v>
      </c>
      <c r="AF211" s="83" t="e">
        <f t="shared" si="58"/>
        <v>#REF!</v>
      </c>
      <c r="AI211" s="72"/>
    </row>
    <row r="212" spans="2:35" x14ac:dyDescent="0.25">
      <c r="B212" s="3" t="s">
        <v>101</v>
      </c>
      <c r="C212" s="2"/>
      <c r="D212" s="2"/>
      <c r="E212" s="2"/>
      <c r="F212" s="2"/>
      <c r="G212" s="2"/>
      <c r="H212" s="2"/>
      <c r="I212" s="5">
        <f>263</f>
        <v>263</v>
      </c>
      <c r="J212" s="2"/>
      <c r="K212" s="5">
        <f t="shared" si="65"/>
        <v>263</v>
      </c>
      <c r="L212" s="5">
        <f t="shared" si="66"/>
        <v>263</v>
      </c>
      <c r="M212" s="167"/>
      <c r="N212" s="167"/>
      <c r="O212" s="167"/>
      <c r="P212" s="167">
        <f t="shared" si="53"/>
        <v>0</v>
      </c>
      <c r="Q212" s="168">
        <f t="shared" si="54"/>
        <v>0</v>
      </c>
      <c r="R212" s="121">
        <v>29.22</v>
      </c>
      <c r="S212" s="121">
        <v>29.22</v>
      </c>
      <c r="T212" s="121">
        <v>29.22</v>
      </c>
      <c r="U212" s="121">
        <f t="shared" si="51"/>
        <v>58.44</v>
      </c>
      <c r="V212" s="121">
        <f t="shared" si="55"/>
        <v>321.44</v>
      </c>
      <c r="W212" s="121"/>
      <c r="X212" s="122">
        <f t="shared" si="52"/>
        <v>321.44</v>
      </c>
      <c r="Y212" s="122">
        <v>1000</v>
      </c>
      <c r="Z212" s="122"/>
      <c r="AA212" s="122">
        <f t="shared" si="56"/>
        <v>1000</v>
      </c>
      <c r="AB212" s="122">
        <f t="shared" si="57"/>
        <v>678.56</v>
      </c>
      <c r="AC212" s="121"/>
      <c r="AD212" s="121">
        <v>1000</v>
      </c>
      <c r="AE212" s="121"/>
      <c r="AF212" s="83">
        <f t="shared" si="58"/>
        <v>1000</v>
      </c>
    </row>
    <row r="213" spans="2:35" x14ac:dyDescent="0.25">
      <c r="B213" s="3" t="s">
        <v>100</v>
      </c>
      <c r="C213" s="5">
        <f>6640.67</f>
        <v>6640.67</v>
      </c>
      <c r="D213" s="2"/>
      <c r="E213" s="2"/>
      <c r="F213" s="2"/>
      <c r="G213" s="2"/>
      <c r="H213" s="2"/>
      <c r="I213" s="5">
        <f>5348.91</f>
        <v>5348.91</v>
      </c>
      <c r="J213" s="2"/>
      <c r="K213" s="5">
        <f t="shared" si="65"/>
        <v>5348.91</v>
      </c>
      <c r="L213" s="5">
        <f t="shared" si="66"/>
        <v>11989.58</v>
      </c>
      <c r="M213" s="169">
        <f>+M211*0.1</f>
        <v>550</v>
      </c>
      <c r="N213" s="169">
        <f>+N211*0.1</f>
        <v>550</v>
      </c>
      <c r="O213" s="169">
        <f>+O211*0.1</f>
        <v>550</v>
      </c>
      <c r="P213" s="167">
        <f t="shared" si="53"/>
        <v>1100</v>
      </c>
      <c r="Q213" s="168">
        <f t="shared" si="54"/>
        <v>7740.67</v>
      </c>
      <c r="R213" s="170">
        <f>+R211*0.1</f>
        <v>538.41600000000005</v>
      </c>
      <c r="S213" s="171">
        <f>+S211*0.1</f>
        <v>538.41600000000005</v>
      </c>
      <c r="T213" s="171">
        <f>+T211*0.1</f>
        <v>538.41600000000005</v>
      </c>
      <c r="U213" s="121">
        <f t="shared" si="51"/>
        <v>1076.8320000000001</v>
      </c>
      <c r="V213" s="121">
        <f t="shared" si="55"/>
        <v>6425.7420000000002</v>
      </c>
      <c r="W213" s="121"/>
      <c r="X213" s="123">
        <f t="shared" si="52"/>
        <v>14166.412</v>
      </c>
      <c r="Y213" s="123">
        <f>+Y211*0.1</f>
        <v>11805</v>
      </c>
      <c r="Z213" s="123">
        <f>+Z211*0.1</f>
        <v>2400</v>
      </c>
      <c r="AA213" s="122">
        <f t="shared" si="56"/>
        <v>14205</v>
      </c>
      <c r="AB213" s="122">
        <f t="shared" si="57"/>
        <v>38.587999999999738</v>
      </c>
      <c r="AC213" s="121"/>
      <c r="AD213" s="171" t="e">
        <f>+AD211*0.1</f>
        <v>#REF!</v>
      </c>
      <c r="AE213" s="171" t="e">
        <f>+AE211*0.1</f>
        <v>#REF!</v>
      </c>
      <c r="AF213" s="83" t="e">
        <f t="shared" si="58"/>
        <v>#REF!</v>
      </c>
    </row>
    <row r="214" spans="2:35" ht="23.25" x14ac:dyDescent="0.25">
      <c r="B214" s="3" t="s">
        <v>99</v>
      </c>
      <c r="C214" s="4">
        <f t="shared" ref="C214:AF214" si="67">((((C209)+(C210))+(C211))+(C212))+(C213)</f>
        <v>61417.270000000004</v>
      </c>
      <c r="D214" s="4">
        <f t="shared" si="67"/>
        <v>0</v>
      </c>
      <c r="E214" s="4">
        <f t="shared" si="67"/>
        <v>0</v>
      </c>
      <c r="F214" s="4">
        <f t="shared" si="67"/>
        <v>0</v>
      </c>
      <c r="G214" s="4">
        <f t="shared" si="67"/>
        <v>0</v>
      </c>
      <c r="H214" s="4">
        <f t="shared" si="67"/>
        <v>0</v>
      </c>
      <c r="I214" s="4">
        <f t="shared" si="67"/>
        <v>47960.31</v>
      </c>
      <c r="J214" s="4">
        <f t="shared" si="67"/>
        <v>0</v>
      </c>
      <c r="K214" s="4">
        <f t="shared" si="67"/>
        <v>61960.31</v>
      </c>
      <c r="L214" s="4">
        <f t="shared" si="67"/>
        <v>123377.58</v>
      </c>
      <c r="M214" s="4">
        <f t="shared" si="67"/>
        <v>6050</v>
      </c>
      <c r="N214" s="4">
        <f t="shared" si="67"/>
        <v>6050</v>
      </c>
      <c r="O214" s="4">
        <f t="shared" si="67"/>
        <v>6050</v>
      </c>
      <c r="P214" s="4">
        <f t="shared" si="67"/>
        <v>12100</v>
      </c>
      <c r="Q214" s="110">
        <f t="shared" si="67"/>
        <v>73517.27</v>
      </c>
      <c r="R214" s="4">
        <f t="shared" si="67"/>
        <v>5951.7960000000003</v>
      </c>
      <c r="S214" s="4">
        <f t="shared" si="67"/>
        <v>5951.7960000000003</v>
      </c>
      <c r="T214" s="4">
        <f t="shared" si="67"/>
        <v>5951.7960000000003</v>
      </c>
      <c r="U214" s="4">
        <f t="shared" si="67"/>
        <v>11903.592000000001</v>
      </c>
      <c r="V214" s="4">
        <f t="shared" si="67"/>
        <v>73863.902000000002</v>
      </c>
      <c r="W214" s="4"/>
      <c r="X214" s="124">
        <f t="shared" si="67"/>
        <v>147381.17200000002</v>
      </c>
      <c r="Y214" s="124">
        <f t="shared" si="67"/>
        <v>132125</v>
      </c>
      <c r="Z214" s="124">
        <f t="shared" si="67"/>
        <v>26400</v>
      </c>
      <c r="AA214" s="124">
        <f t="shared" si="67"/>
        <v>158525</v>
      </c>
      <c r="AB214" s="124">
        <f t="shared" si="67"/>
        <v>11143.827999999992</v>
      </c>
      <c r="AC214" s="4"/>
      <c r="AD214" s="4" t="e">
        <f t="shared" si="67"/>
        <v>#REF!</v>
      </c>
      <c r="AE214" s="4" t="e">
        <f t="shared" si="67"/>
        <v>#REF!</v>
      </c>
      <c r="AF214" s="124" t="e">
        <f t="shared" si="67"/>
        <v>#REF!</v>
      </c>
    </row>
    <row r="215" spans="2:35" x14ac:dyDescent="0.25">
      <c r="B215" s="3" t="s">
        <v>98</v>
      </c>
      <c r="C215" s="2"/>
      <c r="D215" s="2"/>
      <c r="E215" s="2"/>
      <c r="F215" s="2"/>
      <c r="G215" s="2"/>
      <c r="H215" s="2"/>
      <c r="I215" s="2"/>
      <c r="J215" s="2"/>
      <c r="K215" s="5">
        <f t="shared" ref="K215:K217" si="68">(((G215)+(H215))+(I215))+(J215)</f>
        <v>0</v>
      </c>
      <c r="L215" s="5">
        <f t="shared" ref="L215:L217" si="69">((((C215)+(D215))+(E215))+(F215))+(K215)</f>
        <v>0</v>
      </c>
      <c r="M215" s="103"/>
      <c r="N215" s="103"/>
      <c r="O215" s="103"/>
      <c r="P215" s="103"/>
      <c r="Q215" s="111"/>
      <c r="R215" s="115"/>
      <c r="S215" s="115"/>
      <c r="T215" s="115"/>
      <c r="U215" s="115"/>
      <c r="V215" s="115"/>
      <c r="W215" s="115"/>
      <c r="X215" s="122"/>
      <c r="Y215" s="122"/>
      <c r="Z215" s="122"/>
      <c r="AA215" s="122"/>
      <c r="AB215" s="122"/>
      <c r="AC215" s="121"/>
      <c r="AD215" s="121"/>
      <c r="AE215" s="121"/>
      <c r="AF215" s="83"/>
    </row>
    <row r="216" spans="2:35" x14ac:dyDescent="0.25">
      <c r="B216" s="3" t="s">
        <v>97</v>
      </c>
      <c r="C216" s="5">
        <f>5500</f>
        <v>5500</v>
      </c>
      <c r="D216" s="2"/>
      <c r="E216" s="2"/>
      <c r="F216" s="2"/>
      <c r="G216" s="2"/>
      <c r="H216" s="2"/>
      <c r="I216" s="5">
        <f>16500</f>
        <v>16500</v>
      </c>
      <c r="J216" s="2"/>
      <c r="K216" s="5">
        <f t="shared" si="68"/>
        <v>16500</v>
      </c>
      <c r="L216" s="5">
        <f t="shared" si="69"/>
        <v>22000</v>
      </c>
      <c r="M216" s="103">
        <v>440</v>
      </c>
      <c r="N216" s="103">
        <v>440</v>
      </c>
      <c r="O216" s="103">
        <v>440</v>
      </c>
      <c r="P216" s="167">
        <f t="shared" ref="P216" si="70">SUM(N216:O216)</f>
        <v>880</v>
      </c>
      <c r="Q216" s="168">
        <f t="shared" ref="Q216:Q217" si="71">+P216+C216</f>
        <v>6380</v>
      </c>
      <c r="R216" s="121">
        <v>1760</v>
      </c>
      <c r="S216" s="121">
        <v>1760</v>
      </c>
      <c r="T216" s="121">
        <v>1760</v>
      </c>
      <c r="U216" s="121">
        <f t="shared" ref="U216:U217" si="72">SUM(S216:T216)</f>
        <v>3520</v>
      </c>
      <c r="V216" s="121">
        <f t="shared" ref="V216:V217" si="73">+U216+K216</f>
        <v>20020</v>
      </c>
      <c r="W216" s="121"/>
      <c r="X216" s="122">
        <f t="shared" ref="X216:X222" si="74">+V216+Q216</f>
        <v>26400</v>
      </c>
      <c r="Y216" s="122">
        <v>26400</v>
      </c>
      <c r="Z216" s="122"/>
      <c r="AA216" s="122">
        <f t="shared" ref="AA216:AA235" si="75">+Y216+Z216</f>
        <v>26400</v>
      </c>
      <c r="AB216" s="122">
        <f t="shared" ref="AB216:AB237" si="76">+AA216-X216</f>
        <v>0</v>
      </c>
      <c r="AC216" s="121"/>
      <c r="AD216" s="121">
        <f>19800+6600</f>
        <v>26400</v>
      </c>
      <c r="AE216" s="121"/>
      <c r="AF216" s="83">
        <f t="shared" ref="AF216:AF218" si="77">+AD216+AE216</f>
        <v>26400</v>
      </c>
    </row>
    <row r="217" spans="2:35" x14ac:dyDescent="0.25">
      <c r="B217" s="3" t="s">
        <v>96</v>
      </c>
      <c r="C217" s="2"/>
      <c r="D217" s="2"/>
      <c r="E217" s="2"/>
      <c r="F217" s="2"/>
      <c r="G217" s="2"/>
      <c r="H217" s="2"/>
      <c r="I217" s="5">
        <f>10055</f>
        <v>10055</v>
      </c>
      <c r="J217" s="2"/>
      <c r="K217" s="5">
        <f t="shared" si="68"/>
        <v>10055</v>
      </c>
      <c r="L217" s="5">
        <f t="shared" si="69"/>
        <v>10055</v>
      </c>
      <c r="M217" s="103"/>
      <c r="N217" s="103"/>
      <c r="O217" s="103"/>
      <c r="P217" s="103"/>
      <c r="Q217" s="168">
        <f t="shared" si="71"/>
        <v>0</v>
      </c>
      <c r="R217" s="172">
        <v>1750</v>
      </c>
      <c r="S217" s="172"/>
      <c r="T217" s="172"/>
      <c r="U217" s="121">
        <f t="shared" si="72"/>
        <v>0</v>
      </c>
      <c r="V217" s="172">
        <f t="shared" si="73"/>
        <v>10055</v>
      </c>
      <c r="W217" s="172"/>
      <c r="X217" s="122">
        <f t="shared" si="74"/>
        <v>10055</v>
      </c>
      <c r="Y217" s="125">
        <v>9500</v>
      </c>
      <c r="Z217" s="125"/>
      <c r="AA217" s="122">
        <f t="shared" si="75"/>
        <v>9500</v>
      </c>
      <c r="AB217" s="122">
        <f t="shared" si="76"/>
        <v>-555</v>
      </c>
      <c r="AC217" s="121"/>
      <c r="AD217" s="172">
        <v>9500</v>
      </c>
      <c r="AE217" s="172"/>
      <c r="AF217" s="83">
        <f t="shared" si="77"/>
        <v>9500</v>
      </c>
    </row>
    <row r="218" spans="2:35" x14ac:dyDescent="0.25">
      <c r="B218" s="3" t="s">
        <v>95</v>
      </c>
      <c r="C218" s="2"/>
      <c r="D218" s="2"/>
      <c r="E218" s="2"/>
      <c r="F218" s="2"/>
      <c r="G218" s="2"/>
      <c r="H218" s="2"/>
      <c r="I218" s="5"/>
      <c r="J218" s="2"/>
      <c r="K218" s="5"/>
      <c r="L218" s="5"/>
      <c r="M218" s="103"/>
      <c r="N218" s="103"/>
      <c r="O218" s="103"/>
      <c r="P218" s="103"/>
      <c r="Q218" s="168"/>
      <c r="R218" s="172"/>
      <c r="S218" s="172"/>
      <c r="T218" s="172"/>
      <c r="U218" s="121"/>
      <c r="V218" s="121"/>
      <c r="W218" s="121"/>
      <c r="X218" s="122"/>
      <c r="Y218" s="125">
        <v>1000</v>
      </c>
      <c r="Z218" s="125"/>
      <c r="AA218" s="122">
        <f t="shared" si="75"/>
        <v>1000</v>
      </c>
      <c r="AB218" s="122">
        <f t="shared" si="76"/>
        <v>1000</v>
      </c>
      <c r="AC218" s="121"/>
      <c r="AD218" s="172">
        <v>1000</v>
      </c>
      <c r="AE218" s="172"/>
      <c r="AF218" s="83">
        <f t="shared" si="77"/>
        <v>1000</v>
      </c>
    </row>
    <row r="219" spans="2:35" x14ac:dyDescent="0.25">
      <c r="B219" s="3" t="s">
        <v>94</v>
      </c>
      <c r="C219" s="4">
        <f t="shared" ref="C219:J219" si="78">((C215)+(C216))+(C217)</f>
        <v>5500</v>
      </c>
      <c r="D219" s="4">
        <f t="shared" si="78"/>
        <v>0</v>
      </c>
      <c r="E219" s="4">
        <f t="shared" si="78"/>
        <v>0</v>
      </c>
      <c r="F219" s="4">
        <f t="shared" si="78"/>
        <v>0</v>
      </c>
      <c r="G219" s="4">
        <f t="shared" si="78"/>
        <v>0</v>
      </c>
      <c r="H219" s="4">
        <f t="shared" si="78"/>
        <v>0</v>
      </c>
      <c r="I219" s="4">
        <f t="shared" si="78"/>
        <v>26555</v>
      </c>
      <c r="J219" s="4">
        <f t="shared" si="78"/>
        <v>0</v>
      </c>
      <c r="K219" s="4">
        <f t="shared" ref="K219:K237" si="79">(((G219)+(H219))+(I219))+(J219)</f>
        <v>26555</v>
      </c>
      <c r="L219" s="4">
        <f t="shared" ref="L219:L237" si="80">((((C219)+(D219))+(E219))+(F219))+(K219)</f>
        <v>32055</v>
      </c>
      <c r="M219" s="4">
        <f t="shared" ref="M219:X219" si="81">((M215)+(M216))+(M217)</f>
        <v>440</v>
      </c>
      <c r="N219" s="4">
        <f t="shared" si="81"/>
        <v>440</v>
      </c>
      <c r="O219" s="4">
        <f t="shared" si="81"/>
        <v>440</v>
      </c>
      <c r="P219" s="4">
        <f t="shared" si="81"/>
        <v>880</v>
      </c>
      <c r="Q219" s="110">
        <f t="shared" si="81"/>
        <v>6380</v>
      </c>
      <c r="R219" s="4">
        <f t="shared" si="81"/>
        <v>3510</v>
      </c>
      <c r="S219" s="4">
        <f t="shared" si="81"/>
        <v>1760</v>
      </c>
      <c r="T219" s="4">
        <f t="shared" si="81"/>
        <v>1760</v>
      </c>
      <c r="U219" s="4">
        <f t="shared" si="81"/>
        <v>3520</v>
      </c>
      <c r="V219" s="4">
        <f t="shared" si="81"/>
        <v>30075</v>
      </c>
      <c r="W219" s="4"/>
      <c r="X219" s="124">
        <f t="shared" si="81"/>
        <v>36455</v>
      </c>
      <c r="Y219" s="124">
        <f>((Y215)+(Y216))+(Y217)+Y218</f>
        <v>36900</v>
      </c>
      <c r="Z219" s="124">
        <f t="shared" ref="Z219:AF219" si="82">((Z215)+(Z216))+(Z217)+Z218</f>
        <v>0</v>
      </c>
      <c r="AA219" s="124">
        <f t="shared" si="82"/>
        <v>36900</v>
      </c>
      <c r="AB219" s="124">
        <f>((AB215)+(AB216))+(AB217)+AB218</f>
        <v>445</v>
      </c>
      <c r="AC219" s="4"/>
      <c r="AD219" s="4">
        <f t="shared" si="82"/>
        <v>36900</v>
      </c>
      <c r="AE219" s="4">
        <f t="shared" si="82"/>
        <v>0</v>
      </c>
      <c r="AF219" s="124">
        <f t="shared" si="82"/>
        <v>36900</v>
      </c>
    </row>
    <row r="220" spans="2:35" x14ac:dyDescent="0.25">
      <c r="B220" s="3" t="s">
        <v>93</v>
      </c>
      <c r="C220" s="2"/>
      <c r="D220" s="2"/>
      <c r="E220" s="2"/>
      <c r="F220" s="2"/>
      <c r="G220" s="2"/>
      <c r="H220" s="2"/>
      <c r="I220" s="2"/>
      <c r="J220" s="2"/>
      <c r="K220" s="5">
        <f t="shared" si="79"/>
        <v>0</v>
      </c>
      <c r="L220" s="5">
        <f t="shared" si="80"/>
        <v>0</v>
      </c>
      <c r="M220" s="103"/>
      <c r="N220" s="103"/>
      <c r="O220" s="167"/>
      <c r="P220" s="167">
        <f t="shared" ref="P220" si="83">SUM(M220:O220)</f>
        <v>0</v>
      </c>
      <c r="Q220" s="168">
        <f t="shared" ref="Q220:Q222" si="84">+P220+C220</f>
        <v>0</v>
      </c>
      <c r="R220" s="115"/>
      <c r="S220" s="115"/>
      <c r="T220" s="115"/>
      <c r="U220" s="121">
        <f t="shared" ref="U220:U222" si="85">SUM(R220:T220)</f>
        <v>0</v>
      </c>
      <c r="V220" s="121">
        <f t="shared" ref="V220:V222" si="86">+U220+K220</f>
        <v>0</v>
      </c>
      <c r="W220" s="121"/>
      <c r="X220" s="122">
        <f t="shared" si="74"/>
        <v>0</v>
      </c>
      <c r="Y220" s="122"/>
      <c r="Z220" s="122"/>
      <c r="AA220" s="122">
        <f t="shared" si="75"/>
        <v>0</v>
      </c>
      <c r="AB220" s="122">
        <f t="shared" si="76"/>
        <v>0</v>
      </c>
      <c r="AC220" s="121"/>
      <c r="AD220" s="121"/>
      <c r="AE220" s="121"/>
      <c r="AF220" s="83"/>
    </row>
    <row r="221" spans="2:35" x14ac:dyDescent="0.25">
      <c r="B221" s="3" t="s">
        <v>92</v>
      </c>
      <c r="C221" s="2"/>
      <c r="D221" s="2"/>
      <c r="E221" s="2"/>
      <c r="F221" s="2"/>
      <c r="G221" s="2"/>
      <c r="H221" s="2"/>
      <c r="I221" s="2"/>
      <c r="J221" s="5">
        <f>0</f>
        <v>0</v>
      </c>
      <c r="K221" s="5">
        <f t="shared" si="79"/>
        <v>0</v>
      </c>
      <c r="L221" s="5">
        <f t="shared" si="80"/>
        <v>0</v>
      </c>
      <c r="M221" s="103"/>
      <c r="N221" s="103"/>
      <c r="O221" s="103"/>
      <c r="P221" s="103"/>
      <c r="Q221" s="168">
        <f t="shared" si="84"/>
        <v>0</v>
      </c>
      <c r="R221" s="115"/>
      <c r="S221" s="115"/>
      <c r="T221" s="115"/>
      <c r="U221" s="121">
        <f t="shared" si="85"/>
        <v>0</v>
      </c>
      <c r="V221" s="121">
        <f t="shared" si="86"/>
        <v>0</v>
      </c>
      <c r="W221" s="121"/>
      <c r="X221" s="122">
        <f t="shared" si="74"/>
        <v>0</v>
      </c>
      <c r="Y221" s="122"/>
      <c r="Z221" s="122"/>
      <c r="AA221" s="122">
        <f t="shared" si="75"/>
        <v>0</v>
      </c>
      <c r="AB221" s="122">
        <f t="shared" si="76"/>
        <v>0</v>
      </c>
      <c r="AC221" s="121"/>
      <c r="AD221" s="121"/>
      <c r="AE221" s="121"/>
      <c r="AF221" s="83"/>
    </row>
    <row r="222" spans="2:35" x14ac:dyDescent="0.25">
      <c r="B222" s="3" t="s">
        <v>91</v>
      </c>
      <c r="C222" s="5">
        <f>4301.7</f>
        <v>4301.7</v>
      </c>
      <c r="D222" s="2"/>
      <c r="E222" s="2"/>
      <c r="F222" s="2"/>
      <c r="G222" s="2"/>
      <c r="H222" s="2"/>
      <c r="I222" s="5">
        <f>4301.68</f>
        <v>4301.68</v>
      </c>
      <c r="J222" s="2"/>
      <c r="K222" s="5">
        <f t="shared" si="79"/>
        <v>4301.68</v>
      </c>
      <c r="L222" s="5">
        <f t="shared" si="80"/>
        <v>8603.380000000001</v>
      </c>
      <c r="M222" s="104"/>
      <c r="N222" s="104"/>
      <c r="O222" s="104"/>
      <c r="P222" s="104"/>
      <c r="Q222" s="168">
        <f t="shared" si="84"/>
        <v>4301.7</v>
      </c>
      <c r="R222" s="173"/>
      <c r="S222" s="116"/>
      <c r="T222" s="116"/>
      <c r="U222" s="121">
        <f t="shared" si="85"/>
        <v>0</v>
      </c>
      <c r="V222" s="121">
        <f t="shared" si="86"/>
        <v>4301.68</v>
      </c>
      <c r="W222" s="121"/>
      <c r="X222" s="123">
        <f t="shared" si="74"/>
        <v>8603.380000000001</v>
      </c>
      <c r="Y222" s="123">
        <v>6500</v>
      </c>
      <c r="Z222" s="123"/>
      <c r="AA222" s="122">
        <f t="shared" si="75"/>
        <v>6500</v>
      </c>
      <c r="AB222" s="122">
        <f t="shared" si="76"/>
        <v>-2103.380000000001</v>
      </c>
      <c r="AC222" s="121"/>
      <c r="AD222" s="171">
        <v>9000</v>
      </c>
      <c r="AE222" s="171"/>
      <c r="AF222" s="83">
        <f t="shared" ref="AF222" si="87">+AD222+AE222</f>
        <v>9000</v>
      </c>
    </row>
    <row r="223" spans="2:35" x14ac:dyDescent="0.25">
      <c r="B223" s="3" t="s">
        <v>90</v>
      </c>
      <c r="C223" s="4">
        <f t="shared" ref="C223:J223" si="88">((C220)+(C221))+(C222)</f>
        <v>4301.7</v>
      </c>
      <c r="D223" s="4">
        <f t="shared" si="88"/>
        <v>0</v>
      </c>
      <c r="E223" s="4">
        <f t="shared" si="88"/>
        <v>0</v>
      </c>
      <c r="F223" s="4">
        <f t="shared" si="88"/>
        <v>0</v>
      </c>
      <c r="G223" s="4">
        <f t="shared" si="88"/>
        <v>0</v>
      </c>
      <c r="H223" s="4">
        <f t="shared" si="88"/>
        <v>0</v>
      </c>
      <c r="I223" s="4">
        <f t="shared" si="88"/>
        <v>4301.68</v>
      </c>
      <c r="J223" s="4">
        <f t="shared" si="88"/>
        <v>0</v>
      </c>
      <c r="K223" s="4">
        <f t="shared" si="79"/>
        <v>4301.68</v>
      </c>
      <c r="L223" s="4">
        <f t="shared" si="80"/>
        <v>8603.380000000001</v>
      </c>
      <c r="M223" s="4">
        <f t="shared" ref="M223:AF223" si="89">((M220)+(M221))+(M222)</f>
        <v>0</v>
      </c>
      <c r="N223" s="4">
        <f t="shared" si="89"/>
        <v>0</v>
      </c>
      <c r="O223" s="4">
        <f t="shared" si="89"/>
        <v>0</v>
      </c>
      <c r="P223" s="4">
        <f t="shared" si="89"/>
        <v>0</v>
      </c>
      <c r="Q223" s="110">
        <f t="shared" si="89"/>
        <v>4301.7</v>
      </c>
      <c r="R223" s="4">
        <f t="shared" si="89"/>
        <v>0</v>
      </c>
      <c r="S223" s="4">
        <f t="shared" si="89"/>
        <v>0</v>
      </c>
      <c r="T223" s="4">
        <f t="shared" si="89"/>
        <v>0</v>
      </c>
      <c r="U223" s="4">
        <f t="shared" si="89"/>
        <v>0</v>
      </c>
      <c r="V223" s="4">
        <f t="shared" si="89"/>
        <v>4301.68</v>
      </c>
      <c r="W223" s="4"/>
      <c r="X223" s="124">
        <f t="shared" si="89"/>
        <v>8603.380000000001</v>
      </c>
      <c r="Y223" s="124">
        <f t="shared" si="89"/>
        <v>6500</v>
      </c>
      <c r="Z223" s="124">
        <f t="shared" si="89"/>
        <v>0</v>
      </c>
      <c r="AA223" s="124">
        <f t="shared" si="89"/>
        <v>6500</v>
      </c>
      <c r="AB223" s="124">
        <f t="shared" si="89"/>
        <v>-2103.380000000001</v>
      </c>
      <c r="AC223" s="4"/>
      <c r="AD223" s="4">
        <f t="shared" si="89"/>
        <v>9000</v>
      </c>
      <c r="AE223" s="4">
        <f t="shared" si="89"/>
        <v>0</v>
      </c>
      <c r="AF223" s="124">
        <f t="shared" si="89"/>
        <v>9000</v>
      </c>
    </row>
    <row r="224" spans="2:35" x14ac:dyDescent="0.25">
      <c r="B224" s="3" t="s">
        <v>89</v>
      </c>
      <c r="C224" s="2"/>
      <c r="D224" s="2"/>
      <c r="E224" s="2"/>
      <c r="F224" s="2"/>
      <c r="G224" s="2"/>
      <c r="H224" s="2"/>
      <c r="I224" s="5">
        <f>445.52</f>
        <v>445.52</v>
      </c>
      <c r="J224" s="2"/>
      <c r="K224" s="5">
        <f t="shared" si="79"/>
        <v>445.52</v>
      </c>
      <c r="L224" s="5">
        <f t="shared" si="80"/>
        <v>445.52</v>
      </c>
      <c r="M224" s="103"/>
      <c r="N224" s="103"/>
      <c r="O224" s="103"/>
      <c r="P224" s="103"/>
      <c r="Q224" s="111"/>
      <c r="R224" s="115"/>
      <c r="S224" s="115"/>
      <c r="T224" s="115"/>
      <c r="U224" s="115"/>
      <c r="V224" s="121">
        <f>+U224+K224</f>
        <v>445.52</v>
      </c>
      <c r="W224" s="121"/>
      <c r="X224" s="122">
        <f>+V224+Q224</f>
        <v>445.52</v>
      </c>
      <c r="Y224" s="122"/>
      <c r="Z224" s="122"/>
      <c r="AA224" s="122">
        <f t="shared" si="75"/>
        <v>0</v>
      </c>
      <c r="AB224" s="122">
        <f t="shared" si="76"/>
        <v>-445.52</v>
      </c>
      <c r="AC224" s="121"/>
      <c r="AD224" s="121">
        <v>1500</v>
      </c>
      <c r="AE224" s="121"/>
      <c r="AF224" s="83">
        <f t="shared" ref="AF224:AF235" si="90">+AD224+AE224</f>
        <v>1500</v>
      </c>
    </row>
    <row r="225" spans="2:32" x14ac:dyDescent="0.25">
      <c r="B225" s="3" t="s">
        <v>88</v>
      </c>
      <c r="C225" s="5">
        <f>1649.4</f>
        <v>1649.4</v>
      </c>
      <c r="D225" s="2"/>
      <c r="E225" s="2"/>
      <c r="F225" s="2"/>
      <c r="G225" s="2"/>
      <c r="H225" s="5">
        <f>250</f>
        <v>250</v>
      </c>
      <c r="I225" s="5">
        <f>250</f>
        <v>250</v>
      </c>
      <c r="J225" s="2"/>
      <c r="K225" s="5">
        <f t="shared" si="79"/>
        <v>500</v>
      </c>
      <c r="L225" s="5">
        <f t="shared" si="80"/>
        <v>2149.4</v>
      </c>
      <c r="M225" s="103">
        <v>20</v>
      </c>
      <c r="N225" s="103">
        <v>20</v>
      </c>
      <c r="O225" s="103">
        <v>20</v>
      </c>
      <c r="P225" s="167">
        <f t="shared" ref="P225:P230" si="91">SUM(N225:O225)</f>
        <v>40</v>
      </c>
      <c r="Q225" s="168">
        <f t="shared" ref="Q225:Q230" si="92">+P225+C225</f>
        <v>1689.4</v>
      </c>
      <c r="R225" s="115"/>
      <c r="S225" s="115"/>
      <c r="T225" s="115"/>
      <c r="U225" s="121">
        <f t="shared" ref="U225:U230" si="93">SUM(S225:T225)</f>
        <v>0</v>
      </c>
      <c r="V225" s="121">
        <f>+U225+K225</f>
        <v>500</v>
      </c>
      <c r="W225" s="121"/>
      <c r="X225" s="122">
        <f>+V225+Q225</f>
        <v>2189.4</v>
      </c>
      <c r="Y225" s="122">
        <v>1450</v>
      </c>
      <c r="Z225" s="122"/>
      <c r="AA225" s="122">
        <f t="shared" si="75"/>
        <v>1450</v>
      </c>
      <c r="AB225" s="122">
        <f t="shared" si="76"/>
        <v>-739.40000000000009</v>
      </c>
      <c r="AC225" s="121"/>
      <c r="AD225" s="121">
        <v>1000</v>
      </c>
      <c r="AE225" s="121"/>
      <c r="AF225" s="83">
        <f t="shared" si="90"/>
        <v>1000</v>
      </c>
    </row>
    <row r="226" spans="2:32" x14ac:dyDescent="0.25">
      <c r="B226" s="3" t="s">
        <v>87</v>
      </c>
      <c r="C226" s="5">
        <f>15.11</f>
        <v>15.11</v>
      </c>
      <c r="D226" s="2"/>
      <c r="E226" s="2"/>
      <c r="F226" s="2"/>
      <c r="G226" s="2"/>
      <c r="H226" s="2"/>
      <c r="I226" s="2"/>
      <c r="J226" s="5">
        <f>240</f>
        <v>240</v>
      </c>
      <c r="K226" s="5">
        <f t="shared" si="79"/>
        <v>240</v>
      </c>
      <c r="L226" s="5">
        <f t="shared" si="80"/>
        <v>255.11</v>
      </c>
      <c r="M226" s="103"/>
      <c r="N226" s="103">
        <v>58</v>
      </c>
      <c r="O226" s="103"/>
      <c r="P226" s="167">
        <f t="shared" si="91"/>
        <v>58</v>
      </c>
      <c r="Q226" s="168">
        <f t="shared" si="92"/>
        <v>73.11</v>
      </c>
      <c r="R226" s="115"/>
      <c r="S226" s="115"/>
      <c r="T226" s="115"/>
      <c r="U226" s="121">
        <f t="shared" si="93"/>
        <v>0</v>
      </c>
      <c r="V226" s="121">
        <f t="shared" ref="V226:V230" si="94">+U226+K226</f>
        <v>240</v>
      </c>
      <c r="W226" s="121"/>
      <c r="X226" s="122">
        <f t="shared" ref="X226:X237" si="95">+V226+Q226</f>
        <v>313.11</v>
      </c>
      <c r="Y226" s="122">
        <v>500</v>
      </c>
      <c r="Z226" s="122"/>
      <c r="AA226" s="122">
        <f t="shared" si="75"/>
        <v>500</v>
      </c>
      <c r="AB226" s="122">
        <f t="shared" si="76"/>
        <v>186.89</v>
      </c>
      <c r="AC226" s="121"/>
      <c r="AD226" s="121">
        <v>500</v>
      </c>
      <c r="AE226" s="121"/>
      <c r="AF226" s="83">
        <f t="shared" si="90"/>
        <v>500</v>
      </c>
    </row>
    <row r="227" spans="2:32" x14ac:dyDescent="0.25">
      <c r="B227" s="3" t="s">
        <v>86</v>
      </c>
      <c r="C227" s="5">
        <f>533.59</f>
        <v>533.59</v>
      </c>
      <c r="D227" s="2"/>
      <c r="E227" s="2"/>
      <c r="F227" s="2"/>
      <c r="G227" s="2"/>
      <c r="H227" s="2"/>
      <c r="I227" s="5">
        <f>433.92</f>
        <v>433.92</v>
      </c>
      <c r="J227" s="2"/>
      <c r="K227" s="5">
        <f t="shared" si="79"/>
        <v>433.92</v>
      </c>
      <c r="L227" s="5">
        <f t="shared" si="80"/>
        <v>967.51</v>
      </c>
      <c r="M227" s="103"/>
      <c r="N227" s="103">
        <v>500</v>
      </c>
      <c r="O227" s="103"/>
      <c r="P227" s="167">
        <f t="shared" si="91"/>
        <v>500</v>
      </c>
      <c r="Q227" s="168">
        <f t="shared" si="92"/>
        <v>1033.5900000000001</v>
      </c>
      <c r="R227" s="115"/>
      <c r="S227" s="115"/>
      <c r="T227" s="115"/>
      <c r="U227" s="121">
        <f t="shared" si="93"/>
        <v>0</v>
      </c>
      <c r="V227" s="121">
        <f t="shared" si="94"/>
        <v>433.92</v>
      </c>
      <c r="W227" s="121"/>
      <c r="X227" s="122">
        <f t="shared" si="95"/>
        <v>1467.5100000000002</v>
      </c>
      <c r="Y227" s="122">
        <v>100</v>
      </c>
      <c r="Z227" s="122"/>
      <c r="AA227" s="122">
        <f t="shared" si="75"/>
        <v>100</v>
      </c>
      <c r="AB227" s="122">
        <f t="shared" si="76"/>
        <v>-1367.5100000000002</v>
      </c>
      <c r="AC227" s="121"/>
      <c r="AD227" s="121">
        <v>1000</v>
      </c>
      <c r="AE227" s="121"/>
      <c r="AF227" s="83">
        <f t="shared" si="90"/>
        <v>1000</v>
      </c>
    </row>
    <row r="228" spans="2:32" x14ac:dyDescent="0.25">
      <c r="B228" s="3" t="s">
        <v>85</v>
      </c>
      <c r="C228" s="5">
        <f>173.84</f>
        <v>173.84</v>
      </c>
      <c r="D228" s="2"/>
      <c r="E228" s="2"/>
      <c r="F228" s="2"/>
      <c r="G228" s="2"/>
      <c r="H228" s="5">
        <f>280.05</f>
        <v>280.05</v>
      </c>
      <c r="I228" s="5">
        <f>952.68</f>
        <v>952.68</v>
      </c>
      <c r="J228" s="2"/>
      <c r="K228" s="5">
        <f t="shared" si="79"/>
        <v>1232.73</v>
      </c>
      <c r="L228" s="5">
        <f t="shared" si="80"/>
        <v>1406.57</v>
      </c>
      <c r="M228" s="103"/>
      <c r="N228" s="103"/>
      <c r="O228" s="103">
        <v>100</v>
      </c>
      <c r="P228" s="167">
        <f t="shared" si="91"/>
        <v>100</v>
      </c>
      <c r="Q228" s="168">
        <f t="shared" si="92"/>
        <v>273.84000000000003</v>
      </c>
      <c r="R228" s="115"/>
      <c r="S228" s="115"/>
      <c r="T228" s="115"/>
      <c r="U228" s="121">
        <f t="shared" si="93"/>
        <v>0</v>
      </c>
      <c r="V228" s="121">
        <f t="shared" si="94"/>
        <v>1232.73</v>
      </c>
      <c r="W228" s="121"/>
      <c r="X228" s="122">
        <f t="shared" si="95"/>
        <v>1506.5700000000002</v>
      </c>
      <c r="Y228" s="122">
        <v>2000</v>
      </c>
      <c r="Z228" s="122"/>
      <c r="AA228" s="122">
        <f t="shared" si="75"/>
        <v>2000</v>
      </c>
      <c r="AB228" s="122">
        <f t="shared" si="76"/>
        <v>493.42999999999984</v>
      </c>
      <c r="AC228" s="121"/>
      <c r="AD228" s="121">
        <v>1500</v>
      </c>
      <c r="AE228" s="121"/>
      <c r="AF228" s="83">
        <f t="shared" si="90"/>
        <v>1500</v>
      </c>
    </row>
    <row r="229" spans="2:32" x14ac:dyDescent="0.25">
      <c r="B229" s="3" t="s">
        <v>84</v>
      </c>
      <c r="C229" s="2"/>
      <c r="D229" s="2"/>
      <c r="E229" s="2"/>
      <c r="F229" s="2"/>
      <c r="G229" s="2"/>
      <c r="H229" s="2"/>
      <c r="I229" s="5">
        <f>140</f>
        <v>140</v>
      </c>
      <c r="J229" s="2"/>
      <c r="K229" s="5">
        <f t="shared" si="79"/>
        <v>140</v>
      </c>
      <c r="L229" s="5">
        <f t="shared" si="80"/>
        <v>140</v>
      </c>
      <c r="M229" s="103"/>
      <c r="N229" s="103"/>
      <c r="O229" s="103"/>
      <c r="P229" s="167">
        <f t="shared" si="91"/>
        <v>0</v>
      </c>
      <c r="Q229" s="168">
        <f t="shared" si="92"/>
        <v>0</v>
      </c>
      <c r="R229" s="115"/>
      <c r="S229" s="115"/>
      <c r="T229" s="115"/>
      <c r="U229" s="121">
        <f t="shared" si="93"/>
        <v>0</v>
      </c>
      <c r="V229" s="121">
        <f t="shared" si="94"/>
        <v>140</v>
      </c>
      <c r="W229" s="121"/>
      <c r="X229" s="122">
        <f t="shared" si="95"/>
        <v>140</v>
      </c>
      <c r="Y229" s="122">
        <v>150</v>
      </c>
      <c r="Z229" s="122"/>
      <c r="AA229" s="122">
        <f t="shared" si="75"/>
        <v>150</v>
      </c>
      <c r="AB229" s="122">
        <f t="shared" si="76"/>
        <v>10</v>
      </c>
      <c r="AC229" s="121"/>
      <c r="AD229" s="121">
        <v>150</v>
      </c>
      <c r="AE229" s="121"/>
      <c r="AF229" s="83">
        <f t="shared" si="90"/>
        <v>150</v>
      </c>
    </row>
    <row r="230" spans="2:32" x14ac:dyDescent="0.25">
      <c r="B230" s="3" t="s">
        <v>83</v>
      </c>
      <c r="C230" s="5">
        <f>1267.37</f>
        <v>1267.3699999999999</v>
      </c>
      <c r="D230" s="2"/>
      <c r="E230" s="2"/>
      <c r="F230" s="2"/>
      <c r="G230" s="2"/>
      <c r="H230" s="2"/>
      <c r="I230" s="5">
        <f>744.2</f>
        <v>744.2</v>
      </c>
      <c r="J230" s="2"/>
      <c r="K230" s="5">
        <f t="shared" si="79"/>
        <v>744.2</v>
      </c>
      <c r="L230" s="5">
        <f t="shared" si="80"/>
        <v>2011.57</v>
      </c>
      <c r="M230" s="104">
        <v>15</v>
      </c>
      <c r="N230" s="104">
        <v>15</v>
      </c>
      <c r="O230" s="104">
        <v>15</v>
      </c>
      <c r="P230" s="167">
        <f t="shared" si="91"/>
        <v>30</v>
      </c>
      <c r="Q230" s="168">
        <f t="shared" si="92"/>
        <v>1297.3699999999999</v>
      </c>
      <c r="R230" s="173">
        <v>60</v>
      </c>
      <c r="S230" s="116">
        <v>60</v>
      </c>
      <c r="T230" s="116">
        <v>60</v>
      </c>
      <c r="U230" s="121">
        <f t="shared" si="93"/>
        <v>120</v>
      </c>
      <c r="V230" s="121">
        <f t="shared" si="94"/>
        <v>864.2</v>
      </c>
      <c r="W230" s="121"/>
      <c r="X230" s="122">
        <f t="shared" si="95"/>
        <v>2161.5699999999997</v>
      </c>
      <c r="Y230" s="123">
        <v>540</v>
      </c>
      <c r="Z230" s="123"/>
      <c r="AA230" s="122">
        <f t="shared" si="75"/>
        <v>540</v>
      </c>
      <c r="AB230" s="122">
        <f t="shared" si="76"/>
        <v>-1621.5699999999997</v>
      </c>
      <c r="AC230" s="121"/>
      <c r="AD230" s="171">
        <v>1200</v>
      </c>
      <c r="AE230" s="171"/>
      <c r="AF230" s="83">
        <f t="shared" si="90"/>
        <v>1200</v>
      </c>
    </row>
    <row r="231" spans="2:32" x14ac:dyDescent="0.25">
      <c r="B231" s="3" t="s">
        <v>82</v>
      </c>
      <c r="C231" s="4">
        <f t="shared" ref="C231:J231" si="96">((((((C224)+(C225))+(C226))+(C227))+(C228))+(C229))+(C230)</f>
        <v>3639.31</v>
      </c>
      <c r="D231" s="4">
        <f t="shared" si="96"/>
        <v>0</v>
      </c>
      <c r="E231" s="4">
        <f t="shared" si="96"/>
        <v>0</v>
      </c>
      <c r="F231" s="4">
        <f t="shared" si="96"/>
        <v>0</v>
      </c>
      <c r="G231" s="4">
        <f t="shared" si="96"/>
        <v>0</v>
      </c>
      <c r="H231" s="4">
        <f t="shared" si="96"/>
        <v>530.04999999999995</v>
      </c>
      <c r="I231" s="4">
        <f t="shared" si="96"/>
        <v>2966.3199999999997</v>
      </c>
      <c r="J231" s="4">
        <f t="shared" si="96"/>
        <v>240</v>
      </c>
      <c r="K231" s="4">
        <f t="shared" si="79"/>
        <v>3736.37</v>
      </c>
      <c r="L231" s="4">
        <f t="shared" si="80"/>
        <v>7375.68</v>
      </c>
      <c r="M231" s="4">
        <f t="shared" ref="M231:U231" si="97">((((((M224)+(M225))+(M226))+(M227))+(M228))+(M229))+(M230)</f>
        <v>35</v>
      </c>
      <c r="N231" s="4">
        <f t="shared" si="97"/>
        <v>593</v>
      </c>
      <c r="O231" s="4">
        <f t="shared" si="97"/>
        <v>135</v>
      </c>
      <c r="P231" s="4">
        <f t="shared" si="97"/>
        <v>728</v>
      </c>
      <c r="Q231" s="110">
        <f t="shared" si="97"/>
        <v>4367.3100000000004</v>
      </c>
      <c r="R231" s="4">
        <f t="shared" si="97"/>
        <v>60</v>
      </c>
      <c r="S231" s="4">
        <f t="shared" si="97"/>
        <v>60</v>
      </c>
      <c r="T231" s="4">
        <f t="shared" si="97"/>
        <v>60</v>
      </c>
      <c r="U231" s="4">
        <f t="shared" si="97"/>
        <v>120</v>
      </c>
      <c r="V231" s="4">
        <f>((((((V224)+(V225))+(V226))+(V227))+(V228))+(V229))+(V230)</f>
        <v>3856.37</v>
      </c>
      <c r="W231" s="4"/>
      <c r="X231" s="124">
        <f>((((((X224)+(X225))+(X226))+(X227))+(X228))+(X229))+(X230)</f>
        <v>8223.68</v>
      </c>
      <c r="Y231" s="124">
        <f t="shared" ref="Y231:AF231" si="98">((((((Y224)+(Y225))+(Y226))+(Y227))+(Y228))+(Y229))+(Y230)</f>
        <v>4740</v>
      </c>
      <c r="Z231" s="124">
        <f t="shared" si="98"/>
        <v>0</v>
      </c>
      <c r="AA231" s="124">
        <f t="shared" si="98"/>
        <v>4740</v>
      </c>
      <c r="AB231" s="124">
        <f t="shared" si="98"/>
        <v>-3483.6800000000003</v>
      </c>
      <c r="AC231" s="4"/>
      <c r="AD231" s="4">
        <f t="shared" si="98"/>
        <v>6850</v>
      </c>
      <c r="AE231" s="4">
        <f t="shared" si="98"/>
        <v>0</v>
      </c>
      <c r="AF231" s="124">
        <f t="shared" si="98"/>
        <v>6850</v>
      </c>
    </row>
    <row r="232" spans="2:32" ht="23.25" x14ac:dyDescent="0.25">
      <c r="B232" s="3" t="s">
        <v>81</v>
      </c>
      <c r="C232" s="5">
        <f>55.2</f>
        <v>55.2</v>
      </c>
      <c r="D232" s="2"/>
      <c r="E232" s="2"/>
      <c r="F232" s="2"/>
      <c r="G232" s="2"/>
      <c r="H232" s="2"/>
      <c r="I232" s="2"/>
      <c r="J232" s="2"/>
      <c r="K232" s="5">
        <f t="shared" si="79"/>
        <v>0</v>
      </c>
      <c r="L232" s="5">
        <f t="shared" si="80"/>
        <v>55.2</v>
      </c>
      <c r="M232" s="103"/>
      <c r="N232" s="103"/>
      <c r="O232" s="103"/>
      <c r="P232" s="167">
        <f t="shared" ref="P232:P235" si="99">SUM(N232:O232)</f>
        <v>0</v>
      </c>
      <c r="Q232" s="168">
        <f t="shared" ref="Q232:Q235" si="100">+P232+C232</f>
        <v>55.2</v>
      </c>
      <c r="R232" s="115"/>
      <c r="S232" s="115"/>
      <c r="T232" s="115"/>
      <c r="U232" s="121">
        <f t="shared" ref="U232:U235" si="101">SUM(S232:T232)</f>
        <v>0</v>
      </c>
      <c r="V232" s="121">
        <f t="shared" ref="V232:V235" si="102">+U232+K232</f>
        <v>0</v>
      </c>
      <c r="W232" s="121"/>
      <c r="X232" s="122">
        <f t="shared" si="95"/>
        <v>55.2</v>
      </c>
      <c r="Y232" s="122">
        <v>150</v>
      </c>
      <c r="Z232" s="122"/>
      <c r="AA232" s="122">
        <f t="shared" si="75"/>
        <v>150</v>
      </c>
      <c r="AB232" s="122">
        <f t="shared" si="76"/>
        <v>94.8</v>
      </c>
      <c r="AC232" s="121"/>
      <c r="AD232" s="121">
        <v>150</v>
      </c>
      <c r="AE232" s="121"/>
      <c r="AF232" s="83">
        <f t="shared" si="90"/>
        <v>150</v>
      </c>
    </row>
    <row r="233" spans="2:32" x14ac:dyDescent="0.25">
      <c r="B233" s="3" t="s">
        <v>211</v>
      </c>
      <c r="C233" s="5">
        <f>275.15</f>
        <v>275.14999999999998</v>
      </c>
      <c r="D233" s="2"/>
      <c r="E233" s="2"/>
      <c r="F233" s="2"/>
      <c r="G233" s="2"/>
      <c r="H233" s="2"/>
      <c r="I233" s="2"/>
      <c r="J233" s="2"/>
      <c r="K233" s="5">
        <f t="shared" si="79"/>
        <v>0</v>
      </c>
      <c r="L233" s="5">
        <f t="shared" si="80"/>
        <v>275.14999999999998</v>
      </c>
      <c r="M233" s="103"/>
      <c r="N233" s="103"/>
      <c r="O233" s="103"/>
      <c r="P233" s="167">
        <f t="shared" si="99"/>
        <v>0</v>
      </c>
      <c r="Q233" s="168">
        <f t="shared" si="100"/>
        <v>275.14999999999998</v>
      </c>
      <c r="R233" s="115"/>
      <c r="S233" s="115"/>
      <c r="T233" s="115"/>
      <c r="U233" s="121">
        <f t="shared" si="101"/>
        <v>0</v>
      </c>
      <c r="V233" s="121">
        <f t="shared" si="102"/>
        <v>0</v>
      </c>
      <c r="W233" s="121"/>
      <c r="X233" s="122">
        <f t="shared" si="95"/>
        <v>275.14999999999998</v>
      </c>
      <c r="Y233" s="122"/>
      <c r="Z233" s="122"/>
      <c r="AA233" s="122">
        <f t="shared" si="75"/>
        <v>0</v>
      </c>
      <c r="AB233" s="122">
        <f t="shared" si="76"/>
        <v>-275.14999999999998</v>
      </c>
      <c r="AC233" s="121"/>
      <c r="AD233" s="121">
        <v>250</v>
      </c>
      <c r="AE233" s="121"/>
      <c r="AF233" s="83">
        <f t="shared" si="90"/>
        <v>250</v>
      </c>
    </row>
    <row r="234" spans="2:32" x14ac:dyDescent="0.25">
      <c r="B234" s="3" t="s">
        <v>80</v>
      </c>
      <c r="C234" s="5">
        <f>2500</f>
        <v>2500</v>
      </c>
      <c r="D234" s="2"/>
      <c r="E234" s="2"/>
      <c r="F234" s="2"/>
      <c r="G234" s="2"/>
      <c r="H234" s="2"/>
      <c r="I234" s="2"/>
      <c r="J234" s="2"/>
      <c r="K234" s="5">
        <f t="shared" si="79"/>
        <v>0</v>
      </c>
      <c r="L234" s="5">
        <f t="shared" si="80"/>
        <v>2500</v>
      </c>
      <c r="M234" s="103"/>
      <c r="N234" s="103">
        <v>750</v>
      </c>
      <c r="O234" s="103"/>
      <c r="P234" s="167">
        <f t="shared" si="99"/>
        <v>750</v>
      </c>
      <c r="Q234" s="168">
        <f t="shared" si="100"/>
        <v>3250</v>
      </c>
      <c r="R234" s="115"/>
      <c r="S234" s="115"/>
      <c r="T234" s="115"/>
      <c r="U234" s="121">
        <f t="shared" si="101"/>
        <v>0</v>
      </c>
      <c r="V234" s="121">
        <f t="shared" si="102"/>
        <v>0</v>
      </c>
      <c r="W234" s="121"/>
      <c r="X234" s="122">
        <f t="shared" si="95"/>
        <v>3250</v>
      </c>
      <c r="Y234" s="122">
        <v>3500</v>
      </c>
      <c r="Z234" s="122"/>
      <c r="AA234" s="122">
        <f t="shared" si="75"/>
        <v>3500</v>
      </c>
      <c r="AB234" s="122">
        <f t="shared" si="76"/>
        <v>250</v>
      </c>
      <c r="AC234" s="121"/>
      <c r="AD234" s="121">
        <v>500</v>
      </c>
      <c r="AE234" s="121"/>
      <c r="AF234" s="83">
        <f t="shared" si="90"/>
        <v>500</v>
      </c>
    </row>
    <row r="235" spans="2:32" x14ac:dyDescent="0.25">
      <c r="B235" s="101" t="s">
        <v>79</v>
      </c>
      <c r="C235" s="5"/>
      <c r="D235" s="2"/>
      <c r="E235" s="2"/>
      <c r="F235" s="2"/>
      <c r="G235" s="2"/>
      <c r="H235" s="2"/>
      <c r="I235" s="2"/>
      <c r="J235" s="2"/>
      <c r="K235" s="5"/>
      <c r="L235" s="5"/>
      <c r="M235" s="104"/>
      <c r="N235" s="104"/>
      <c r="O235" s="104">
        <v>50</v>
      </c>
      <c r="P235" s="167">
        <f t="shared" si="99"/>
        <v>50</v>
      </c>
      <c r="Q235" s="168">
        <f t="shared" si="100"/>
        <v>50</v>
      </c>
      <c r="R235" s="173"/>
      <c r="S235" s="116"/>
      <c r="T235" s="171">
        <v>50</v>
      </c>
      <c r="U235" s="121">
        <f t="shared" si="101"/>
        <v>50</v>
      </c>
      <c r="V235" s="121">
        <f t="shared" si="102"/>
        <v>50</v>
      </c>
      <c r="W235" s="121"/>
      <c r="X235" s="123">
        <f t="shared" si="95"/>
        <v>100</v>
      </c>
      <c r="Y235" s="123">
        <v>150</v>
      </c>
      <c r="Z235" s="123"/>
      <c r="AA235" s="122">
        <f t="shared" si="75"/>
        <v>150</v>
      </c>
      <c r="AB235" s="122">
        <f t="shared" si="76"/>
        <v>50</v>
      </c>
      <c r="AC235" s="121"/>
      <c r="AD235" s="171">
        <v>200</v>
      </c>
      <c r="AE235" s="171"/>
      <c r="AF235" s="83">
        <f t="shared" si="90"/>
        <v>200</v>
      </c>
    </row>
    <row r="236" spans="2:32" ht="23.25" x14ac:dyDescent="0.25">
      <c r="B236" s="3" t="s">
        <v>77</v>
      </c>
      <c r="C236" s="4">
        <f>((C232)+(C233))+(C234)+C235</f>
        <v>2830.35</v>
      </c>
      <c r="D236" s="4">
        <f t="shared" ref="D236:J236" si="103">((D232)+(D233))+(D234)</f>
        <v>0</v>
      </c>
      <c r="E236" s="4">
        <f t="shared" si="103"/>
        <v>0</v>
      </c>
      <c r="F236" s="4">
        <f t="shared" si="103"/>
        <v>0</v>
      </c>
      <c r="G236" s="4">
        <f t="shared" si="103"/>
        <v>0</v>
      </c>
      <c r="H236" s="4">
        <f t="shared" si="103"/>
        <v>0</v>
      </c>
      <c r="I236" s="4">
        <f t="shared" si="103"/>
        <v>0</v>
      </c>
      <c r="J236" s="4">
        <f t="shared" si="103"/>
        <v>0</v>
      </c>
      <c r="K236" s="4">
        <f t="shared" si="79"/>
        <v>0</v>
      </c>
      <c r="L236" s="4">
        <f t="shared" si="80"/>
        <v>2830.35</v>
      </c>
      <c r="M236" s="4">
        <f t="shared" ref="M236:AB236" si="104">((M232)+(M233))+(M234)+M235</f>
        <v>0</v>
      </c>
      <c r="N236" s="4">
        <f t="shared" si="104"/>
        <v>750</v>
      </c>
      <c r="O236" s="4">
        <f t="shared" si="104"/>
        <v>50</v>
      </c>
      <c r="P236" s="4">
        <f t="shared" si="104"/>
        <v>800</v>
      </c>
      <c r="Q236" s="110">
        <f t="shared" si="104"/>
        <v>3630.35</v>
      </c>
      <c r="R236" s="4">
        <f t="shared" si="104"/>
        <v>0</v>
      </c>
      <c r="S236" s="4">
        <f t="shared" si="104"/>
        <v>0</v>
      </c>
      <c r="T236" s="4">
        <f t="shared" si="104"/>
        <v>50</v>
      </c>
      <c r="U236" s="4">
        <f t="shared" si="104"/>
        <v>50</v>
      </c>
      <c r="V236" s="4">
        <f t="shared" si="104"/>
        <v>50</v>
      </c>
      <c r="W236" s="107"/>
      <c r="X236" s="93">
        <f t="shared" si="104"/>
        <v>3680.35</v>
      </c>
      <c r="Y236" s="124">
        <f t="shared" si="104"/>
        <v>3800</v>
      </c>
      <c r="Z236" s="124">
        <f t="shared" si="104"/>
        <v>0</v>
      </c>
      <c r="AA236" s="124">
        <f t="shared" si="104"/>
        <v>3800</v>
      </c>
      <c r="AB236" s="124">
        <f t="shared" si="104"/>
        <v>119.65000000000003</v>
      </c>
      <c r="AC236" s="4"/>
      <c r="AD236" s="4">
        <f t="shared" ref="AD236:AF236" si="105">((AD232)+(AD233))+(AD234)+AD235</f>
        <v>1100</v>
      </c>
      <c r="AE236" s="4">
        <f t="shared" si="105"/>
        <v>0</v>
      </c>
      <c r="AF236" s="124">
        <f t="shared" si="105"/>
        <v>1100</v>
      </c>
    </row>
    <row r="237" spans="2:32" x14ac:dyDescent="0.25">
      <c r="B237" s="3" t="s">
        <v>212</v>
      </c>
      <c r="C237" s="2"/>
      <c r="D237" s="2"/>
      <c r="E237" s="2"/>
      <c r="F237" s="2"/>
      <c r="G237" s="2"/>
      <c r="H237" s="2"/>
      <c r="I237" s="2"/>
      <c r="J237" s="5">
        <f>9250</f>
        <v>9250</v>
      </c>
      <c r="K237" s="5">
        <f t="shared" si="79"/>
        <v>9250</v>
      </c>
      <c r="L237" s="5">
        <f t="shared" si="80"/>
        <v>9250</v>
      </c>
      <c r="M237" s="104"/>
      <c r="N237" s="104"/>
      <c r="O237" s="104"/>
      <c r="P237" s="104"/>
      <c r="Q237" s="112"/>
      <c r="R237" s="173"/>
      <c r="S237" s="116"/>
      <c r="T237" s="116"/>
      <c r="U237" s="121">
        <f t="shared" ref="U237" si="106">SUM(R237:T237)</f>
        <v>0</v>
      </c>
      <c r="V237" s="121">
        <f t="shared" ref="V237" si="107">+U237+K237</f>
        <v>9250</v>
      </c>
      <c r="W237" s="121"/>
      <c r="X237" s="122">
        <f t="shared" si="95"/>
        <v>9250</v>
      </c>
      <c r="Y237" s="123"/>
      <c r="Z237" s="123"/>
      <c r="AA237" s="123"/>
      <c r="AB237" s="122">
        <f t="shared" si="76"/>
        <v>-9250</v>
      </c>
      <c r="AC237" s="121"/>
      <c r="AD237" s="171"/>
      <c r="AE237" s="171"/>
      <c r="AF237" s="83"/>
    </row>
    <row r="238" spans="2:32" x14ac:dyDescent="0.25">
      <c r="B238" s="3" t="s">
        <v>76</v>
      </c>
      <c r="C238" s="4">
        <f t="shared" ref="C238:L238" si="108">(((((((((((((C196)+(C199))+(C200))+(C201))+(C203))+(C204))+(C205))+(C207))+(C214))+(C219))+(C223))+(C231))+(C236))+(C237)</f>
        <v>91698.67</v>
      </c>
      <c r="D238" s="4">
        <f t="shared" si="108"/>
        <v>0</v>
      </c>
      <c r="E238" s="4">
        <f t="shared" si="108"/>
        <v>0</v>
      </c>
      <c r="F238" s="4">
        <f t="shared" si="108"/>
        <v>0</v>
      </c>
      <c r="G238" s="4">
        <f t="shared" si="108"/>
        <v>0</v>
      </c>
      <c r="H238" s="4">
        <f t="shared" si="108"/>
        <v>780.05</v>
      </c>
      <c r="I238" s="4">
        <f t="shared" si="108"/>
        <v>84173.959999999992</v>
      </c>
      <c r="J238" s="4">
        <f t="shared" si="108"/>
        <v>27490</v>
      </c>
      <c r="K238" s="4">
        <f t="shared" si="108"/>
        <v>126444.00999999998</v>
      </c>
      <c r="L238" s="4">
        <f t="shared" si="108"/>
        <v>218142.68000000002</v>
      </c>
      <c r="M238" s="105">
        <f>+M236+M231+M223+M219+M214+M207+M205+M200+M204+M201+M197+M196+M206</f>
        <v>8146.2</v>
      </c>
      <c r="N238" s="105">
        <f>+N236+N231+N223+N219+N214+N207+N205+N200+N204+N201+N197+N196+N206</f>
        <v>12689.24</v>
      </c>
      <c r="O238" s="105">
        <f>+O236+O231+O223+O219+O214+O207+O205+O200+O204+O201+O197+O196+O206</f>
        <v>15795</v>
      </c>
      <c r="P238" s="105">
        <f>+P236+P231+P223+P219+P214+P207+P205+P200+P204+P201+P197+P196+P206</f>
        <v>28484.240000000002</v>
      </c>
      <c r="Q238" s="113">
        <f>+Q236+Q231+Q223+Q219+Q214+Q207+Q205+Q200+Q204+Q201+Q197+Q196+Q206</f>
        <v>120182.91</v>
      </c>
      <c r="R238" s="105">
        <f>+R236+R231+R223+R219+R214+R207+R205+R200+R204+R201+R197+R196+R206+R203+R199+R237</f>
        <v>15606.596000000001</v>
      </c>
      <c r="S238" s="105">
        <f t="shared" ref="S238:X238" si="109">+S236+S231+S223+S219+S214+S207+S205+S200+S204+S201+S197+S196+S206+S203+S199+S237</f>
        <v>7851.7960000000003</v>
      </c>
      <c r="T238" s="105">
        <f t="shared" si="109"/>
        <v>7901.7960000000003</v>
      </c>
      <c r="U238" s="105">
        <f t="shared" si="109"/>
        <v>15753.592000000001</v>
      </c>
      <c r="V238" s="105">
        <f t="shared" si="109"/>
        <v>142197.60199999998</v>
      </c>
      <c r="W238" s="105"/>
      <c r="X238" s="126">
        <f t="shared" si="109"/>
        <v>262380.51199999999</v>
      </c>
      <c r="Y238" s="126">
        <f>+Y236+Y231+Y223+Y219+Y214+Y207+Y205+Y200+Y204+Y201+Y197+Y196+Y206+Y203+Y199+Y237+Y202+Y208</f>
        <v>233415</v>
      </c>
      <c r="Z238" s="126">
        <f t="shared" ref="Z238" si="110">+Z236+Z231+Z223+Z219+Z214+Z207+Z205+Z200+Z204+Z201+Z197+Z196+Z206+Z203+Z199+Z237</f>
        <v>44400</v>
      </c>
      <c r="AA238" s="126">
        <f>+AA236+AA231+AA223+AA219+AA214+AA207+AA205+AA200+AA204+AA201+AA197+AA196+AA206+AA203+AA199+AA237+AA202+AA208</f>
        <v>277815</v>
      </c>
      <c r="AB238" s="126">
        <f>+AB236+AB231+AB223+AB219+AB214+AB207+AB205+AB200+AB204+AB201+AB197+AB196+AB206+AB203+AB199+AB237+AB202+AB208</f>
        <v>15434.487999999987</v>
      </c>
      <c r="AC238" s="105"/>
      <c r="AD238" s="105" t="e">
        <f>+AD236+AD231+AD223+AD219+AD214+AD207+AD205+AD200+AD204+AD201+AD197+AD196+AD206+AD203+AD199+AD237+AD198</f>
        <v>#REF!</v>
      </c>
      <c r="AE238" s="105" t="e">
        <f t="shared" ref="AE238" si="111">+AE236+AE231+AE223+AE219+AE214+AE207+AE205+AE200+AE204+AE201+AE197+AE196+AE206+AE203+AE199+AE237+AE198</f>
        <v>#REF!</v>
      </c>
      <c r="AF238" s="126" t="e">
        <f>+AF236+AF231+AF223+AF219+AF214+AF207+AF205+AF200+AF204+AF201+AF197+AF196+AF206+AF203+AF199+AF237+AF198+AF208</f>
        <v>#REF!</v>
      </c>
    </row>
    <row r="239" spans="2:32" x14ac:dyDescent="0.25">
      <c r="B239" s="3" t="s">
        <v>75</v>
      </c>
      <c r="C239" s="4">
        <f t="shared" ref="C239:J239" si="112">(C19)-(C238)</f>
        <v>-58365.27</v>
      </c>
      <c r="D239" s="4">
        <f t="shared" si="112"/>
        <v>0</v>
      </c>
      <c r="E239" s="4">
        <f t="shared" si="112"/>
        <v>0</v>
      </c>
      <c r="F239" s="4">
        <f t="shared" si="112"/>
        <v>0</v>
      </c>
      <c r="G239" s="4">
        <f t="shared" si="112"/>
        <v>122981.44</v>
      </c>
      <c r="H239" s="4">
        <f t="shared" si="112"/>
        <v>-240.04999999999995</v>
      </c>
      <c r="I239" s="4">
        <f t="shared" si="112"/>
        <v>-84173.959999999992</v>
      </c>
      <c r="J239" s="4">
        <f t="shared" si="112"/>
        <v>-27490</v>
      </c>
      <c r="K239" s="4">
        <f>+K19-K238</f>
        <v>33460.890000000014</v>
      </c>
      <c r="L239" s="4">
        <f>+L19-L238</f>
        <v>-0.38000000003376044</v>
      </c>
      <c r="M239" s="106">
        <f>+M19-M238</f>
        <v>-4812.8666666666668</v>
      </c>
      <c r="N239" s="106">
        <f t="shared" ref="N239:AA239" si="113">+N19-N238</f>
        <v>-9355.9066666666658</v>
      </c>
      <c r="O239" s="106">
        <f t="shared" si="113"/>
        <v>-12461.666666666666</v>
      </c>
      <c r="P239" s="106">
        <f t="shared" si="113"/>
        <v>-21817.573333333334</v>
      </c>
      <c r="Q239" s="114">
        <f t="shared" si="113"/>
        <v>-80182.843333333338</v>
      </c>
      <c r="R239" s="106">
        <f t="shared" si="113"/>
        <v>21776.863999999998</v>
      </c>
      <c r="S239" s="106">
        <f t="shared" si="113"/>
        <v>-5351.7960000000003</v>
      </c>
      <c r="T239" s="106">
        <f t="shared" si="113"/>
        <v>-6401.7960000000003</v>
      </c>
      <c r="U239" s="106">
        <f t="shared" si="113"/>
        <v>-11753.592000000001</v>
      </c>
      <c r="V239" s="106">
        <f t="shared" si="113"/>
        <v>21707.29800000001</v>
      </c>
      <c r="W239" s="106"/>
      <c r="X239" s="106">
        <f t="shared" si="113"/>
        <v>0.45466666668653488</v>
      </c>
      <c r="Y239" s="106">
        <f t="shared" si="113"/>
        <v>-46415</v>
      </c>
      <c r="Z239" s="106">
        <f t="shared" si="113"/>
        <v>-4400</v>
      </c>
      <c r="AA239" s="106">
        <f t="shared" si="113"/>
        <v>0</v>
      </c>
      <c r="AB239" s="127">
        <f>+AB19+AB238</f>
        <v>0.45466666664287914</v>
      </c>
      <c r="AC239" s="106"/>
      <c r="AD239" s="106" t="e">
        <f t="shared" ref="AD239:AF239" si="114">+AD19-AD238</f>
        <v>#REF!</v>
      </c>
      <c r="AE239" s="106" t="e">
        <f t="shared" si="114"/>
        <v>#REF!</v>
      </c>
      <c r="AF239" s="174" t="e">
        <f t="shared" si="114"/>
        <v>#REF!</v>
      </c>
    </row>
    <row r="240" spans="2:32" x14ac:dyDescent="0.25">
      <c r="B240" s="3"/>
      <c r="C240" s="107"/>
      <c r="D240" s="107"/>
      <c r="E240" s="107"/>
      <c r="F240" s="107"/>
      <c r="G240" s="107"/>
      <c r="H240" s="107"/>
      <c r="I240" s="107"/>
      <c r="J240" s="107"/>
      <c r="K240" s="107"/>
      <c r="L240" s="107"/>
      <c r="M240" s="106"/>
      <c r="N240" s="106"/>
      <c r="O240" s="106"/>
      <c r="P240" s="106"/>
      <c r="Q240" s="106"/>
      <c r="R240" s="115"/>
      <c r="S240" s="115"/>
      <c r="T240" s="142">
        <f>+P239+U239</f>
        <v>-33571.165333333338</v>
      </c>
      <c r="U240" s="143">
        <f>+U239+P239</f>
        <v>-33571.165333333338</v>
      </c>
      <c r="V240" s="115"/>
      <c r="W240" s="115"/>
      <c r="X240" s="142">
        <f>+V239+Q239+L239</f>
        <v>-58475.925333333362</v>
      </c>
      <c r="Y240" s="121"/>
      <c r="Z240" s="121"/>
      <c r="AA240" s="121"/>
      <c r="AB240" s="121"/>
      <c r="AC240" s="121"/>
      <c r="AD240" s="121"/>
      <c r="AE240" s="121"/>
      <c r="AF240" s="83"/>
    </row>
    <row r="241" spans="2:32" x14ac:dyDescent="0.25">
      <c r="B241" s="3"/>
      <c r="C241" s="107"/>
      <c r="D241" s="107"/>
      <c r="E241" s="107"/>
      <c r="F241" s="107"/>
      <c r="G241" s="107"/>
      <c r="H241" s="107"/>
      <c r="I241" s="107"/>
      <c r="J241" s="107"/>
      <c r="K241" s="107"/>
      <c r="L241" s="107"/>
      <c r="M241" s="106"/>
      <c r="N241" s="106"/>
      <c r="O241" s="106"/>
      <c r="P241" s="106"/>
      <c r="Q241" s="106">
        <v>120000</v>
      </c>
      <c r="R241" s="115"/>
      <c r="S241" s="115"/>
      <c r="T241" s="115"/>
      <c r="U241" s="142">
        <f>+L239+P239+U239</f>
        <v>-33571.545333333372</v>
      </c>
      <c r="V241" s="142">
        <f>+L239+Q239+V239</f>
        <v>-58475.925333333362</v>
      </c>
      <c r="W241" s="142"/>
      <c r="X241" s="115"/>
      <c r="Y241" s="121"/>
      <c r="Z241" s="121"/>
      <c r="AA241" s="121"/>
      <c r="AB241" s="121"/>
      <c r="AC241" s="121"/>
      <c r="AD241" s="121">
        <v>22000</v>
      </c>
      <c r="AE241" s="121" t="s">
        <v>249</v>
      </c>
      <c r="AF241" s="83"/>
    </row>
    <row r="242" spans="2:32" x14ac:dyDescent="0.25">
      <c r="B242" s="3"/>
      <c r="C242" s="107"/>
      <c r="D242" s="107"/>
      <c r="E242" s="107"/>
      <c r="F242" s="107"/>
      <c r="G242" s="107"/>
      <c r="H242" s="107"/>
      <c r="I242" s="107"/>
      <c r="J242" s="107"/>
      <c r="K242" s="107"/>
      <c r="L242" s="107"/>
      <c r="M242" s="106"/>
      <c r="N242" s="106"/>
      <c r="O242" s="106"/>
      <c r="P242" s="106"/>
      <c r="Q242" s="106">
        <f>+Q238-Q241</f>
        <v>182.91000000000349</v>
      </c>
      <c r="R242" s="115"/>
      <c r="S242" s="115"/>
      <c r="T242" s="115"/>
      <c r="U242" s="115"/>
      <c r="V242" s="115"/>
      <c r="W242" s="115"/>
      <c r="X242" s="142">
        <f>+X15</f>
        <v>58476</v>
      </c>
      <c r="Y242" s="121"/>
      <c r="Z242" s="121"/>
      <c r="AA242" s="121"/>
      <c r="AB242" s="121"/>
      <c r="AC242" s="121"/>
      <c r="AD242" s="121"/>
      <c r="AE242" s="121"/>
      <c r="AF242" s="83"/>
    </row>
    <row r="243" spans="2:32" x14ac:dyDescent="0.25">
      <c r="B243" s="3"/>
      <c r="C243" s="107"/>
      <c r="D243" s="107"/>
      <c r="E243" s="107"/>
      <c r="F243" s="107"/>
      <c r="G243" s="107"/>
      <c r="H243" s="107"/>
      <c r="I243" s="107"/>
      <c r="J243" s="107"/>
      <c r="K243" s="107"/>
      <c r="L243" s="107"/>
      <c r="M243" s="106"/>
      <c r="N243" s="106"/>
      <c r="O243" s="106"/>
      <c r="P243" s="106"/>
      <c r="Q243" s="106"/>
      <c r="R243" s="115"/>
      <c r="S243" s="115"/>
      <c r="T243" s="115"/>
      <c r="U243" s="115"/>
      <c r="V243" s="115"/>
      <c r="W243" s="115"/>
      <c r="X243" s="115"/>
      <c r="Y243" s="121"/>
      <c r="Z243" s="121"/>
      <c r="AA243" s="121"/>
      <c r="AB243" s="121"/>
      <c r="AC243" s="121"/>
      <c r="AD243" s="121"/>
      <c r="AE243" s="121"/>
      <c r="AF243" s="83"/>
    </row>
    <row r="244" spans="2:32" x14ac:dyDescent="0.25">
      <c r="B244" s="3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2:32" x14ac:dyDescent="0.25">
      <c r="B245" s="271" t="s">
        <v>234</v>
      </c>
      <c r="C245" s="271"/>
      <c r="D245" s="271"/>
      <c r="E245" s="271"/>
      <c r="F245" s="271"/>
      <c r="G245" s="271"/>
      <c r="H245" s="271"/>
      <c r="I245" s="271"/>
      <c r="J245" s="271"/>
      <c r="K245" s="271"/>
      <c r="L245" s="271"/>
    </row>
    <row r="247" spans="2:32" x14ac:dyDescent="0.25">
      <c r="B247" s="275" t="s">
        <v>235</v>
      </c>
      <c r="C247" s="268"/>
      <c r="D247" s="268"/>
      <c r="E247" s="268"/>
      <c r="F247" s="268"/>
      <c r="G247" s="268"/>
      <c r="H247" s="268"/>
      <c r="I247" s="268"/>
      <c r="J247" s="268"/>
      <c r="K247" s="268"/>
      <c r="L247" s="268"/>
    </row>
  </sheetData>
  <mergeCells count="7">
    <mergeCell ref="B2:AB2"/>
    <mergeCell ref="B1:AB1"/>
    <mergeCell ref="B245:L245"/>
    <mergeCell ref="B247:L247"/>
    <mergeCell ref="N4:V4"/>
    <mergeCell ref="B3:L3"/>
    <mergeCell ref="L5:AB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1161A-577E-45B8-B811-FF95046E30D9}">
  <dimension ref="A1:G12"/>
  <sheetViews>
    <sheetView workbookViewId="0">
      <selection activeCell="F19" sqref="F19"/>
    </sheetView>
  </sheetViews>
  <sheetFormatPr defaultRowHeight="15" x14ac:dyDescent="0.25"/>
  <cols>
    <col min="1" max="1" width="31.85546875" customWidth="1"/>
    <col min="2" max="7" width="11.140625" customWidth="1"/>
  </cols>
  <sheetData>
    <row r="1" spans="1:7" ht="18" x14ac:dyDescent="0.25">
      <c r="A1" s="269" t="s">
        <v>59</v>
      </c>
      <c r="B1" s="268"/>
      <c r="C1" s="268"/>
      <c r="D1" s="268"/>
      <c r="E1" s="268"/>
      <c r="F1" s="268"/>
      <c r="G1" s="268"/>
    </row>
    <row r="2" spans="1:7" ht="18" x14ac:dyDescent="0.25">
      <c r="A2" s="269" t="s">
        <v>134</v>
      </c>
      <c r="B2" s="268"/>
      <c r="C2" s="268"/>
      <c r="D2" s="268"/>
      <c r="E2" s="268"/>
      <c r="F2" s="268"/>
      <c r="G2" s="268"/>
    </row>
    <row r="3" spans="1:7" x14ac:dyDescent="0.25">
      <c r="A3" s="270" t="s">
        <v>233</v>
      </c>
      <c r="B3" s="268"/>
      <c r="C3" s="268"/>
      <c r="D3" s="268"/>
      <c r="E3" s="268"/>
      <c r="F3" s="268"/>
      <c r="G3" s="268"/>
    </row>
    <row r="5" spans="1:7" x14ac:dyDescent="0.25">
      <c r="A5" s="1"/>
      <c r="B5" s="94" t="s">
        <v>133</v>
      </c>
      <c r="C5" s="94" t="s">
        <v>132</v>
      </c>
      <c r="D5" s="94" t="s">
        <v>131</v>
      </c>
      <c r="E5" s="94" t="s">
        <v>130</v>
      </c>
      <c r="F5" s="94" t="s">
        <v>129</v>
      </c>
      <c r="G5" s="94" t="s">
        <v>0</v>
      </c>
    </row>
    <row r="6" spans="1:7" x14ac:dyDescent="0.25">
      <c r="A6" s="3" t="s">
        <v>221</v>
      </c>
      <c r="B6" s="5">
        <f>220</f>
        <v>220</v>
      </c>
      <c r="C6" s="2"/>
      <c r="D6" s="2"/>
      <c r="E6" s="2"/>
      <c r="F6" s="2"/>
      <c r="G6" s="5">
        <f>((((B6)+(C6))+(D6))+(E6))+(F6)</f>
        <v>220</v>
      </c>
    </row>
    <row r="7" spans="1:7" x14ac:dyDescent="0.25">
      <c r="A7" s="3" t="s">
        <v>228</v>
      </c>
      <c r="B7" s="5">
        <f>2200</f>
        <v>2200</v>
      </c>
      <c r="C7" s="2"/>
      <c r="D7" s="2"/>
      <c r="E7" s="2"/>
      <c r="F7" s="2"/>
      <c r="G7" s="5">
        <f>((((B7)+(C7))+(D7))+(E7))+(F7)</f>
        <v>2200</v>
      </c>
    </row>
    <row r="8" spans="1:7" x14ac:dyDescent="0.25">
      <c r="A8" s="3" t="s">
        <v>128</v>
      </c>
      <c r="B8" s="4">
        <f>(B6)+(B7)</f>
        <v>2420</v>
      </c>
      <c r="C8" s="4">
        <f>(C6)+(C7)</f>
        <v>0</v>
      </c>
      <c r="D8" s="4">
        <f>(D6)+(D7)</f>
        <v>0</v>
      </c>
      <c r="E8" s="4">
        <f>(E6)+(E7)</f>
        <v>0</v>
      </c>
      <c r="F8" s="4">
        <f>(F6)+(F7)</f>
        <v>0</v>
      </c>
      <c r="G8" s="4">
        <f>((((B8)+(C8))+(D8))+(E8))+(F8)</f>
        <v>2420</v>
      </c>
    </row>
    <row r="9" spans="1:7" x14ac:dyDescent="0.25">
      <c r="A9" s="3"/>
      <c r="B9" s="2"/>
      <c r="C9" s="2"/>
      <c r="D9" s="2"/>
      <c r="E9" s="2"/>
      <c r="F9" s="2"/>
      <c r="G9" s="2"/>
    </row>
    <row r="12" spans="1:7" x14ac:dyDescent="0.25">
      <c r="A12" s="275" t="s">
        <v>236</v>
      </c>
      <c r="B12" s="268"/>
      <c r="C12" s="268"/>
      <c r="D12" s="268"/>
      <c r="E12" s="268"/>
      <c r="F12" s="268"/>
      <c r="G12" s="268"/>
    </row>
  </sheetData>
  <mergeCells count="4">
    <mergeCell ref="A1:G1"/>
    <mergeCell ref="A2:G2"/>
    <mergeCell ref="A3:G3"/>
    <mergeCell ref="A12:G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284A1-F0D6-45B8-B085-7D279629B8FD}">
  <dimension ref="A1:G11"/>
  <sheetViews>
    <sheetView workbookViewId="0">
      <selection activeCell="E19" sqref="E19"/>
    </sheetView>
  </sheetViews>
  <sheetFormatPr defaultRowHeight="15" x14ac:dyDescent="0.25"/>
  <cols>
    <col min="1" max="1" width="37.85546875" customWidth="1"/>
    <col min="2" max="7" width="11.140625" customWidth="1"/>
  </cols>
  <sheetData>
    <row r="1" spans="1:7" ht="18" x14ac:dyDescent="0.25">
      <c r="A1" s="269" t="s">
        <v>59</v>
      </c>
      <c r="B1" s="268"/>
      <c r="C1" s="268"/>
      <c r="D1" s="268"/>
      <c r="E1" s="268"/>
      <c r="F1" s="268"/>
      <c r="G1" s="268"/>
    </row>
    <row r="2" spans="1:7" ht="18" x14ac:dyDescent="0.25">
      <c r="A2" s="269" t="s">
        <v>225</v>
      </c>
      <c r="B2" s="268"/>
      <c r="C2" s="268"/>
      <c r="D2" s="268"/>
      <c r="E2" s="268"/>
      <c r="F2" s="268"/>
      <c r="G2" s="268"/>
    </row>
    <row r="3" spans="1:7" x14ac:dyDescent="0.25">
      <c r="A3" s="270" t="s">
        <v>233</v>
      </c>
      <c r="B3" s="268"/>
      <c r="C3" s="268"/>
      <c r="D3" s="268"/>
      <c r="E3" s="268"/>
      <c r="F3" s="268"/>
      <c r="G3" s="268"/>
    </row>
    <row r="5" spans="1:7" x14ac:dyDescent="0.25">
      <c r="A5" s="1"/>
      <c r="B5" s="94" t="s">
        <v>133</v>
      </c>
      <c r="C5" s="94" t="s">
        <v>132</v>
      </c>
      <c r="D5" s="94" t="s">
        <v>131</v>
      </c>
      <c r="E5" s="94" t="s">
        <v>130</v>
      </c>
      <c r="F5" s="94" t="s">
        <v>129</v>
      </c>
      <c r="G5" s="94" t="s">
        <v>0</v>
      </c>
    </row>
    <row r="6" spans="1:7" x14ac:dyDescent="0.25">
      <c r="A6" s="3" t="s">
        <v>232</v>
      </c>
      <c r="B6" s="5">
        <f>3333.34</f>
        <v>3333.34</v>
      </c>
      <c r="C6" s="5">
        <f>6666.68</f>
        <v>6666.68</v>
      </c>
      <c r="D6" s="5">
        <f>3333.34</f>
        <v>3333.34</v>
      </c>
      <c r="E6" s="2"/>
      <c r="F6" s="5">
        <f>16666.7</f>
        <v>16666.7</v>
      </c>
      <c r="G6" s="5">
        <f>((((B6)+(C6))+(D6))+(E6))+(F6)</f>
        <v>30000.06</v>
      </c>
    </row>
    <row r="7" spans="1:7" x14ac:dyDescent="0.25">
      <c r="A7" s="3" t="s">
        <v>128</v>
      </c>
      <c r="B7" s="4">
        <f>B6</f>
        <v>3333.34</v>
      </c>
      <c r="C7" s="4">
        <f>C6</f>
        <v>6666.68</v>
      </c>
      <c r="D7" s="4">
        <f>D6</f>
        <v>3333.34</v>
      </c>
      <c r="E7" s="4">
        <f>E6</f>
        <v>0</v>
      </c>
      <c r="F7" s="4">
        <f>F6</f>
        <v>16666.7</v>
      </c>
      <c r="G7" s="4">
        <f>((((B7)+(C7))+(D7))+(E7))+(F7)</f>
        <v>30000.06</v>
      </c>
    </row>
    <row r="8" spans="1:7" x14ac:dyDescent="0.25">
      <c r="A8" s="3"/>
      <c r="B8" s="2"/>
      <c r="C8" s="2"/>
      <c r="D8" s="2"/>
      <c r="E8" s="2"/>
      <c r="F8" s="2"/>
      <c r="G8" s="2"/>
    </row>
    <row r="11" spans="1:7" x14ac:dyDescent="0.25">
      <c r="A11" s="275" t="s">
        <v>237</v>
      </c>
      <c r="B11" s="268"/>
      <c r="C11" s="268"/>
      <c r="D11" s="268"/>
      <c r="E11" s="268"/>
      <c r="F11" s="268"/>
      <c r="G11" s="268"/>
    </row>
  </sheetData>
  <mergeCells count="4">
    <mergeCell ref="A1:G1"/>
    <mergeCell ref="A2:G2"/>
    <mergeCell ref="A3:G3"/>
    <mergeCell ref="A11:G1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4E36C724E56041AD41E340EF8BC4A6" ma:contentTypeVersion="16" ma:contentTypeDescription="Create a new document." ma:contentTypeScope="" ma:versionID="dc34472e50683122fb1dcccb4fec0486">
  <xsd:schema xmlns:xsd="http://www.w3.org/2001/XMLSchema" xmlns:xs="http://www.w3.org/2001/XMLSchema" xmlns:p="http://schemas.microsoft.com/office/2006/metadata/properties" xmlns:ns2="8d9db891-9a93-4d8f-b316-53a9f4a8df72" xmlns:ns3="f93fbb25-3d89-4e16-a786-6d19e436c58f" targetNamespace="http://schemas.microsoft.com/office/2006/metadata/properties" ma:root="true" ma:fieldsID="bae6a76b2dbf067eb4f5c76b9141abef" ns2:_="" ns3:_="">
    <xsd:import namespace="8d9db891-9a93-4d8f-b316-53a9f4a8df72"/>
    <xsd:import namespace="f93fbb25-3d89-4e16-a786-6d19e436c5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9db891-9a93-4d8f-b316-53a9f4a8df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1c0c85a-fd33-4616-9e22-b9090b4821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3fbb25-3d89-4e16-a786-6d19e436c5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a4d8db-7a85-4fc9-b2c2-d70464f7a73e}" ma:internalName="TaxCatchAll" ma:showField="CatchAllData" ma:web="f93fbb25-3d89-4e16-a786-6d19e436c5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B0336C-EA37-431A-A293-43D247617707}"/>
</file>

<file path=customXml/itemProps2.xml><?xml version="1.0" encoding="utf-8"?>
<ds:datastoreItem xmlns:ds="http://schemas.openxmlformats.org/officeDocument/2006/customXml" ds:itemID="{74603A30-4F92-4A59-80C1-EBBAD0D7D7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Summary Table</vt:lpstr>
      <vt:lpstr>Funds and Assets</vt:lpstr>
      <vt:lpstr>Statement of Financial Position</vt:lpstr>
      <vt:lpstr>Budget vs. Actuals</vt:lpstr>
      <vt:lpstr>SUMMARY</vt:lpstr>
      <vt:lpstr>A P Aging Summary</vt:lpstr>
      <vt:lpstr>AR Aging</vt:lpstr>
      <vt:lpstr>SUMMARY!Print_Area</vt:lpstr>
      <vt:lpstr>'Budget vs. Actuals'!Print_Titles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Joyce Kalstein</cp:lastModifiedBy>
  <cp:lastPrinted>2023-05-10T12:41:33Z</cp:lastPrinted>
  <dcterms:created xsi:type="dcterms:W3CDTF">2021-09-20T13:27:09Z</dcterms:created>
  <dcterms:modified xsi:type="dcterms:W3CDTF">2023-05-30T21:10:03Z</dcterms:modified>
</cp:coreProperties>
</file>