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Apr 2022\"/>
    </mc:Choice>
  </mc:AlternateContent>
  <xr:revisionPtr revIDLastSave="0" documentId="13_ncr:1_{DA07FE44-AB73-485A-B1A2-F538F7B9A4E7}" xr6:coauthVersionLast="47" xr6:coauthVersionMax="47" xr10:uidLastSave="{00000000-0000-0000-0000-000000000000}"/>
  <bookViews>
    <workbookView xWindow="20370" yWindow="-120" windowWidth="20730" windowHeight="11160" firstSheet="1" activeTab="4" xr2:uid="{00000000-000D-0000-FFFF-FFFF00000000}"/>
  </bookViews>
  <sheets>
    <sheet name="Sheet1" sheetId="7" r:id="rId1"/>
    <sheet name="Summary Table" sheetId="6" r:id="rId2"/>
    <sheet name="Funds and Assets" sheetId="5" r:id="rId3"/>
    <sheet name="Statement of Financial Position" sheetId="1" r:id="rId4"/>
    <sheet name="Budget vs. Actuals" sheetId="2" r:id="rId5"/>
    <sheet name="A R Aging Summary" sheetId="3" r:id="rId6"/>
    <sheet name="A P Aging Summary" sheetId="4" r:id="rId7"/>
  </sheets>
  <externalReferences>
    <externalReference r:id="rId8"/>
    <externalReference r:id="rId9"/>
  </externalReferenc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6" l="1"/>
  <c r="N14" i="6"/>
  <c r="N13" i="6"/>
  <c r="N12" i="6"/>
  <c r="F10" i="4" l="1"/>
  <c r="E10" i="4"/>
  <c r="D9" i="4"/>
  <c r="D10" i="4" s="1"/>
  <c r="B8" i="4"/>
  <c r="B10" i="4" s="1"/>
  <c r="G7" i="4"/>
  <c r="B7" i="4"/>
  <c r="C6" i="4"/>
  <c r="G6" i="4" s="1"/>
  <c r="F7" i="3"/>
  <c r="G7" i="3" s="1"/>
  <c r="E7" i="3"/>
  <c r="D7" i="3"/>
  <c r="C7" i="3"/>
  <c r="B7" i="3"/>
  <c r="F6" i="3"/>
  <c r="G6" i="3" s="1"/>
  <c r="E72" i="2"/>
  <c r="C72" i="2"/>
  <c r="B72" i="2"/>
  <c r="D72" i="2" s="1"/>
  <c r="E71" i="2"/>
  <c r="D71" i="2"/>
  <c r="B71" i="2"/>
  <c r="D68" i="2"/>
  <c r="C68" i="2"/>
  <c r="E68" i="2" s="1"/>
  <c r="B68" i="2"/>
  <c r="E67" i="2"/>
  <c r="C67" i="2"/>
  <c r="C69" i="2" s="1"/>
  <c r="E66" i="2"/>
  <c r="D66" i="2"/>
  <c r="B66" i="2"/>
  <c r="E65" i="2"/>
  <c r="D65" i="2"/>
  <c r="B65" i="2"/>
  <c r="E64" i="2"/>
  <c r="B64" i="2"/>
  <c r="D64" i="2" s="1"/>
  <c r="E63" i="2"/>
  <c r="B63" i="2"/>
  <c r="B67" i="2" s="1"/>
  <c r="D67" i="2" s="1"/>
  <c r="E62" i="2"/>
  <c r="D62" i="2"/>
  <c r="E61" i="2"/>
  <c r="B61" i="2"/>
  <c r="B69" i="2" s="1"/>
  <c r="E56" i="2"/>
  <c r="D56" i="2"/>
  <c r="B56" i="2"/>
  <c r="E55" i="2"/>
  <c r="D55" i="2"/>
  <c r="C55" i="2"/>
  <c r="C54" i="2"/>
  <c r="C57" i="2" s="1"/>
  <c r="B54" i="2"/>
  <c r="B57" i="2" s="1"/>
  <c r="E53" i="2"/>
  <c r="D53" i="2"/>
  <c r="B52" i="2"/>
  <c r="E51" i="2"/>
  <c r="D51" i="2"/>
  <c r="C51" i="2"/>
  <c r="B51" i="2"/>
  <c r="C50" i="2"/>
  <c r="B50" i="2"/>
  <c r="E50" i="2" s="1"/>
  <c r="E49" i="2"/>
  <c r="D49" i="2"/>
  <c r="C49" i="2"/>
  <c r="B49" i="2"/>
  <c r="C48" i="2"/>
  <c r="B48" i="2"/>
  <c r="E48" i="2" s="1"/>
  <c r="E47" i="2"/>
  <c r="D47" i="2"/>
  <c r="C47" i="2"/>
  <c r="B47" i="2"/>
  <c r="C46" i="2"/>
  <c r="C52" i="2" s="1"/>
  <c r="B46" i="2"/>
  <c r="E46" i="2" s="1"/>
  <c r="E45" i="2"/>
  <c r="D45" i="2"/>
  <c r="C44" i="2"/>
  <c r="C43" i="2"/>
  <c r="E43" i="2" s="1"/>
  <c r="B43" i="2"/>
  <c r="D43" i="2" s="1"/>
  <c r="E42" i="2"/>
  <c r="B42" i="2"/>
  <c r="D42" i="2" s="1"/>
  <c r="E41" i="2"/>
  <c r="D41" i="2"/>
  <c r="E39" i="2"/>
  <c r="D39" i="2"/>
  <c r="C39" i="2"/>
  <c r="B39" i="2"/>
  <c r="C38" i="2"/>
  <c r="D38" i="2" s="1"/>
  <c r="B38" i="2"/>
  <c r="E37" i="2"/>
  <c r="D37" i="2"/>
  <c r="C37" i="2"/>
  <c r="B37" i="2"/>
  <c r="B40" i="2" s="1"/>
  <c r="E36" i="2"/>
  <c r="D36" i="2"/>
  <c r="C34" i="2"/>
  <c r="E34" i="2" s="1"/>
  <c r="B34" i="2"/>
  <c r="D34" i="2" s="1"/>
  <c r="E33" i="2"/>
  <c r="C33" i="2"/>
  <c r="B33" i="2"/>
  <c r="D33" i="2" s="1"/>
  <c r="C32" i="2"/>
  <c r="E32" i="2" s="1"/>
  <c r="B32" i="2"/>
  <c r="D32" i="2" s="1"/>
  <c r="E31" i="2"/>
  <c r="C31" i="2"/>
  <c r="C35" i="2" s="1"/>
  <c r="B31" i="2"/>
  <c r="D31" i="2" s="1"/>
  <c r="E30" i="2"/>
  <c r="D30" i="2"/>
  <c r="C29" i="2"/>
  <c r="D29" i="2" s="1"/>
  <c r="E28" i="2"/>
  <c r="B28" i="2"/>
  <c r="D28" i="2" s="1"/>
  <c r="C27" i="2"/>
  <c r="E27" i="2" s="1"/>
  <c r="B27" i="2"/>
  <c r="D27" i="2" s="1"/>
  <c r="E26" i="2"/>
  <c r="B26" i="2"/>
  <c r="D26" i="2" s="1"/>
  <c r="C25" i="2"/>
  <c r="B25" i="2"/>
  <c r="E25" i="2" s="1"/>
  <c r="E24" i="2"/>
  <c r="D24" i="2"/>
  <c r="C24" i="2"/>
  <c r="B24" i="2"/>
  <c r="C23" i="2"/>
  <c r="B23" i="2"/>
  <c r="E23" i="2" s="1"/>
  <c r="E22" i="2"/>
  <c r="D22" i="2"/>
  <c r="C22" i="2"/>
  <c r="B22" i="2"/>
  <c r="E21" i="2"/>
  <c r="C21" i="2"/>
  <c r="D21" i="2" s="1"/>
  <c r="C20" i="2"/>
  <c r="D20" i="2" s="1"/>
  <c r="B20" i="2"/>
  <c r="E19" i="2"/>
  <c r="D19" i="2"/>
  <c r="C19" i="2"/>
  <c r="B19" i="2"/>
  <c r="C18" i="2"/>
  <c r="D18" i="2" s="1"/>
  <c r="B18" i="2"/>
  <c r="E14" i="2"/>
  <c r="D14" i="2"/>
  <c r="B14" i="2"/>
  <c r="C12" i="2"/>
  <c r="C11" i="2"/>
  <c r="E11" i="2" s="1"/>
  <c r="B11" i="2"/>
  <c r="D11" i="2" s="1"/>
  <c r="E10" i="2"/>
  <c r="B10" i="2"/>
  <c r="D10" i="2" s="1"/>
  <c r="C9" i="2"/>
  <c r="C13" i="2" s="1"/>
  <c r="B9" i="2"/>
  <c r="D9" i="2" s="1"/>
  <c r="B61" i="1"/>
  <c r="B60" i="1"/>
  <c r="B59" i="1"/>
  <c r="B58" i="1"/>
  <c r="B62" i="1" s="1"/>
  <c r="B57" i="1"/>
  <c r="B52" i="1"/>
  <c r="B51" i="1"/>
  <c r="B53" i="1" s="1"/>
  <c r="B50" i="1"/>
  <c r="B48" i="1"/>
  <c r="B47" i="1"/>
  <c r="B40" i="1"/>
  <c r="B39" i="1"/>
  <c r="B38" i="1"/>
  <c r="B37" i="1"/>
  <c r="B36" i="1"/>
  <c r="B34" i="1"/>
  <c r="B33" i="1"/>
  <c r="B35" i="1" s="1"/>
  <c r="B31" i="1"/>
  <c r="B30" i="1"/>
  <c r="B32" i="1" s="1"/>
  <c r="B41" i="1" s="1"/>
  <c r="B29" i="1"/>
  <c r="B28" i="1"/>
  <c r="B24" i="1"/>
  <c r="B23" i="1"/>
  <c r="B25" i="1" s="1"/>
  <c r="B26" i="1" s="1"/>
  <c r="B20" i="1"/>
  <c r="B19" i="1"/>
  <c r="B17" i="1"/>
  <c r="B16" i="1"/>
  <c r="B13" i="1"/>
  <c r="B12" i="1"/>
  <c r="B11" i="1"/>
  <c r="B10" i="1"/>
  <c r="B14" i="1" s="1"/>
  <c r="B21" i="1" s="1"/>
  <c r="B9" i="1"/>
  <c r="X37" i="2"/>
  <c r="X35" i="2"/>
  <c r="X33" i="2"/>
  <c r="T22" i="2"/>
  <c r="T19" i="2"/>
  <c r="X28" i="2"/>
  <c r="X29" i="2" s="1"/>
  <c r="T16" i="2" s="1"/>
  <c r="T12" i="2"/>
  <c r="T11" i="2"/>
  <c r="T10" i="2"/>
  <c r="T9" i="2"/>
  <c r="T14" i="2"/>
  <c r="T13" i="2"/>
  <c r="Z14" i="2"/>
  <c r="Z9" i="2"/>
  <c r="AA9" i="2" s="1"/>
  <c r="AA8" i="2"/>
  <c r="Z8" i="2"/>
  <c r="Z7" i="2"/>
  <c r="AA7" i="2" s="1"/>
  <c r="Q8" i="2"/>
  <c r="M55" i="2"/>
  <c r="M54" i="2"/>
  <c r="M57" i="2" s="1"/>
  <c r="M51" i="2"/>
  <c r="M50" i="2"/>
  <c r="M49" i="2"/>
  <c r="M48" i="2"/>
  <c r="M47" i="2"/>
  <c r="M52" i="2" s="1"/>
  <c r="M46" i="2"/>
  <c r="M43" i="2"/>
  <c r="M44" i="2" s="1"/>
  <c r="M39" i="2"/>
  <c r="M38" i="2"/>
  <c r="M37" i="2"/>
  <c r="M40" i="2" s="1"/>
  <c r="M34" i="2"/>
  <c r="M33" i="2"/>
  <c r="M32" i="2"/>
  <c r="M31" i="2"/>
  <c r="M35" i="2" s="1"/>
  <c r="M29" i="2"/>
  <c r="M27" i="2"/>
  <c r="M25" i="2"/>
  <c r="M24" i="2"/>
  <c r="M23" i="2"/>
  <c r="M22" i="2"/>
  <c r="M21" i="2"/>
  <c r="M20" i="2"/>
  <c r="M19" i="2"/>
  <c r="M18" i="2"/>
  <c r="M12" i="2"/>
  <c r="M9" i="2"/>
  <c r="H52" i="2"/>
  <c r="I44" i="2"/>
  <c r="G10" i="4" l="1"/>
  <c r="G8" i="4"/>
  <c r="G9" i="4"/>
  <c r="C10" i="4"/>
  <c r="E57" i="2"/>
  <c r="I57" i="2"/>
  <c r="C15" i="2"/>
  <c r="I52" i="2"/>
  <c r="E52" i="2"/>
  <c r="D52" i="2"/>
  <c r="E35" i="2"/>
  <c r="I32" i="2"/>
  <c r="E69" i="2"/>
  <c r="C73" i="2"/>
  <c r="E44" i="2"/>
  <c r="H57" i="2"/>
  <c r="D57" i="2"/>
  <c r="D69" i="2"/>
  <c r="B73" i="2"/>
  <c r="D73" i="2" s="1"/>
  <c r="E18" i="2"/>
  <c r="E38" i="2"/>
  <c r="D54" i="2"/>
  <c r="E54" i="2"/>
  <c r="E9" i="2"/>
  <c r="B12" i="2"/>
  <c r="D23" i="2"/>
  <c r="D25" i="2"/>
  <c r="B44" i="2"/>
  <c r="D46" i="2"/>
  <c r="D48" i="2"/>
  <c r="D50" i="2"/>
  <c r="D63" i="2"/>
  <c r="B35" i="2"/>
  <c r="B58" i="2" s="1"/>
  <c r="E20" i="2"/>
  <c r="E29" i="2"/>
  <c r="D61" i="2"/>
  <c r="C40" i="2"/>
  <c r="E40" i="2" s="1"/>
  <c r="B42" i="1"/>
  <c r="B54" i="1"/>
  <c r="B55" i="1" s="1"/>
  <c r="B63" i="1" s="1"/>
  <c r="U22" i="2"/>
  <c r="AA10" i="2"/>
  <c r="T8" i="2" s="1"/>
  <c r="M13" i="2"/>
  <c r="M15" i="2" s="1"/>
  <c r="M16" i="2" s="1"/>
  <c r="M58" i="2"/>
  <c r="H40" i="2"/>
  <c r="I27" i="2"/>
  <c r="H27" i="2"/>
  <c r="E8" i="2"/>
  <c r="D8" i="2"/>
  <c r="C84" i="2"/>
  <c r="D83" i="2"/>
  <c r="B13" i="2" l="1"/>
  <c r="D12" i="2"/>
  <c r="E12" i="2"/>
  <c r="D35" i="2"/>
  <c r="H32" i="2"/>
  <c r="I40" i="2"/>
  <c r="E73" i="2"/>
  <c r="D40" i="2"/>
  <c r="C58" i="2"/>
  <c r="E58" i="2" s="1"/>
  <c r="D44" i="2"/>
  <c r="H44" i="2"/>
  <c r="C16" i="2"/>
  <c r="M59" i="2"/>
  <c r="D84" i="2"/>
  <c r="D85" i="2" s="1"/>
  <c r="D86" i="2" s="1"/>
  <c r="D87" i="2" s="1"/>
  <c r="D88" i="2" s="1"/>
  <c r="D89" i="2" s="1"/>
  <c r="D90" i="2" s="1"/>
  <c r="D91" i="2" s="1"/>
  <c r="D92" i="2" s="1"/>
  <c r="D93" i="2" s="1"/>
  <c r="F93" i="2" s="1"/>
  <c r="B15" i="2" l="1"/>
  <c r="D13" i="2"/>
  <c r="E13" i="2"/>
  <c r="D58" i="2"/>
  <c r="C59" i="2"/>
  <c r="I16" i="2"/>
  <c r="M24" i="6"/>
  <c r="K19" i="6"/>
  <c r="J19" i="6"/>
  <c r="X18" i="6"/>
  <c r="M15" i="6"/>
  <c r="L15" i="6"/>
  <c r="O15" i="6" s="1"/>
  <c r="K15" i="6"/>
  <c r="J15" i="6"/>
  <c r="I15" i="6"/>
  <c r="H15" i="6"/>
  <c r="G15" i="6"/>
  <c r="G19" i="6" s="1"/>
  <c r="F15" i="6"/>
  <c r="E15" i="6"/>
  <c r="M14" i="6"/>
  <c r="M19" i="6" s="1"/>
  <c r="L14" i="6"/>
  <c r="L19" i="6" s="1"/>
  <c r="K14" i="6"/>
  <c r="J14" i="6"/>
  <c r="I14" i="6"/>
  <c r="I19" i="6" s="1"/>
  <c r="H14" i="6"/>
  <c r="H19" i="6" s="1"/>
  <c r="G14" i="6"/>
  <c r="F14" i="6"/>
  <c r="E14" i="6"/>
  <c r="E19" i="6" s="1"/>
  <c r="M13" i="6"/>
  <c r="L13" i="6"/>
  <c r="O13" i="6" s="1"/>
  <c r="K13" i="6"/>
  <c r="J13" i="6"/>
  <c r="I13" i="6"/>
  <c r="H13" i="6"/>
  <c r="G13" i="6"/>
  <c r="F13" i="6"/>
  <c r="E13" i="6"/>
  <c r="M12" i="6"/>
  <c r="L12" i="6"/>
  <c r="O12" i="6" s="1"/>
  <c r="K12" i="6"/>
  <c r="J12" i="6"/>
  <c r="I12" i="6"/>
  <c r="H12" i="6"/>
  <c r="G12" i="6"/>
  <c r="F12" i="6"/>
  <c r="E12" i="6"/>
  <c r="E11" i="6"/>
  <c r="O11" i="6" s="1"/>
  <c r="I40" i="6"/>
  <c r="C74" i="2" l="1"/>
  <c r="D15" i="2"/>
  <c r="B16" i="2"/>
  <c r="E15" i="2"/>
  <c r="J44" i="2"/>
  <c r="J32" i="2"/>
  <c r="I59" i="2"/>
  <c r="I60" i="2" s="1"/>
  <c r="H16" i="2"/>
  <c r="J16" i="2" s="1"/>
  <c r="J52" i="2"/>
  <c r="H59" i="2"/>
  <c r="J40" i="2"/>
  <c r="J57" i="2"/>
  <c r="J27" i="2"/>
  <c r="N19" i="6"/>
  <c r="O14" i="6"/>
  <c r="O17" i="6" s="1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I41" i="6"/>
  <c r="K57" i="2" l="1"/>
  <c r="B59" i="2"/>
  <c r="D16" i="2"/>
  <c r="E16" i="2"/>
  <c r="K27" i="2"/>
  <c r="M20" i="6"/>
  <c r="N11" i="6"/>
  <c r="N17" i="6" s="1"/>
  <c r="N20" i="6" s="1"/>
  <c r="J59" i="2"/>
  <c r="H60" i="2"/>
  <c r="J60" i="2" s="1"/>
  <c r="K20" i="6"/>
  <c r="J20" i="6"/>
  <c r="G20" i="6"/>
  <c r="E20" i="6"/>
  <c r="H20" i="6"/>
  <c r="I20" i="6"/>
  <c r="F20" i="6"/>
  <c r="L20" i="6"/>
  <c r="F29" i="5"/>
  <c r="F34" i="5" s="1"/>
  <c r="G73" i="2"/>
  <c r="B74" i="2" l="1"/>
  <c r="D59" i="2"/>
  <c r="E59" i="2"/>
  <c r="D74" i="2" l="1"/>
  <c r="E74" i="2"/>
</calcChain>
</file>

<file path=xl/sharedStrings.xml><?xml version="1.0" encoding="utf-8"?>
<sst xmlns="http://schemas.openxmlformats.org/spreadsheetml/2006/main" count="303" uniqueCount="265">
  <si>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</si>
  <si>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</si>
  <si>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</si>
  <si>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</si>
  <si>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</si>
  <si>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</si>
  <si>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</si>
  <si>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</si>
  <si>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</si>
  <si>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</si>
  <si>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</si>
  <si>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</si>
  <si>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</si>
  <si>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</si>
  <si>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</si>
  <si>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</si>
  <si>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</si>
  <si>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</si>
  <si>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</si>
  <si>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</si>
  <si>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</si>
  <si>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</si>
  <si>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</si>
  <si>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</si>
  <si>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</si>
  <si>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</si>
  <si>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</si>
  <si>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</si>
  <si>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</si>
  <si>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</si>
  <si>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</si>
  <si>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</si>
  <si>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</si>
  <si>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</si>
  <si>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</si>
  <si>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</si>
  <si>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</si>
  <si>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</si>
  <si>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</si>
  <si>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</si>
  <si>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</si>
  <si>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</si>
  <si>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</si>
  <si>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</si>
  <si>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</si>
  <si>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</si>
  <si>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</si>
  <si>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</si>
  <si>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</si>
  <si>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</si>
  <si>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</si>
  <si>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</si>
  <si>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</si>
  <si>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</si>
  <si>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</si>
  <si>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</si>
  <si>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</si>
  <si>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</si>
  <si>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</si>
  <si>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</si>
  <si>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</si>
  <si>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</si>
  <si>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</si>
  <si>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</si>
  <si>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</si>
  <si>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</si>
  <si>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</si>
  <si>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</si>
  <si>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</si>
  <si>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</si>
  <si>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</si>
  <si>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</si>
  <si>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</si>
  <si>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</si>
  <si>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</si>
  <si>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</si>
  <si>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</si>
  <si>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</si>
  <si>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</si>
  <si>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</si>
  <si>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</si>
  <si>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</si>
  <si>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</si>
  <si>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</si>
  <si>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</si>
  <si>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</si>
  <si>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</si>
  <si>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</si>
  <si>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</si>
  <si>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</si>
  <si>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</si>
  <si>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</si>
  <si>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</si>
  <si>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</si>
  <si>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</si>
  <si>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</si>
  <si>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</si>
  <si>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</si>
  <si>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</si>
  <si>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</si>
  <si>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</si>
  <si>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</si>
  <si>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</si>
  <si>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</si>
  <si>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</si>
  <si>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</si>
  <si>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</si>
  <si>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</si>
  <si>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</si>
  <si>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</si>
  <si>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</si>
  <si>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</si>
  <si>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</si>
  <si>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</si>
  <si>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</si>
  <si>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 xml:space="preserve">   60000 L&amp;L Event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</si>
  <si>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</si>
  <si>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</si>
  <si>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</si>
  <si>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</si>
  <si>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</si>
  <si>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Total 43440 Fee Income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</si>
  <si>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</si>
  <si>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</si>
  <si>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</si>
  <si>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</si>
  <si>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</si>
  <si>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</si>
  <si>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</si>
  <si>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</si>
  <si>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</si>
  <si>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</si>
  <si>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</si>
  <si>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91 and over</t>
  </si>
  <si>
    <t>61 - 90</t>
  </si>
  <si>
    <t>31 - 60</t>
  </si>
  <si>
    <t>1 - 30</t>
  </si>
  <si>
    <t>Current</t>
  </si>
  <si>
    <t>A/R Aging Summary</t>
  </si>
  <si>
    <t>The Jewish Center (v)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</si>
  <si>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</si>
  <si>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</si>
  <si>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</si>
  <si>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</si>
  <si>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</si>
  <si>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</si>
  <si>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</si>
  <si>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</si>
  <si>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</si>
  <si>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</si>
  <si>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</si>
  <si>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</si>
  <si>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</si>
  <si>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</si>
  <si>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</si>
  <si>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</si>
  <si>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</si>
  <si>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</si>
  <si>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</si>
  <si>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</si>
  <si>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</si>
  <si>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</si>
  <si>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</si>
  <si>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</si>
  <si>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</si>
  <si>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</si>
  <si>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</si>
  <si>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</si>
  <si>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t>FY 2013 - FY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</si>
  <si>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</si>
  <si>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</si>
  <si>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</si>
  <si>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</si>
  <si>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</si>
  <si>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</si>
  <si>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</si>
  <si>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</si>
  <si>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</si>
  <si>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</si>
  <si>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</si>
  <si>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</si>
  <si>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</si>
  <si>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</si>
  <si>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</si>
  <si>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</si>
  <si>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</si>
  <si>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</si>
  <si>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</si>
  <si>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</si>
  <si>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</si>
  <si>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</si>
  <si>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</si>
  <si>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</si>
  <si>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</si>
  <si>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>today</t>
  </si>
  <si>
    <t xml:space="preserve">   60030 Miscellaneous Taxes &amp; Fees</t>
  </si>
  <si>
    <t>The Jewish Federation of Somerset, Hunterdon and Warren Counties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</si>
  <si>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</si>
  <si>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</si>
  <si>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</si>
  <si>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</si>
  <si>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</si>
  <si>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</si>
  <si>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</si>
  <si>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</si>
  <si>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</si>
  <si>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</si>
  <si>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</si>
  <si>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</si>
  <si>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PPP</t>
  </si>
  <si>
    <t xml:space="preserve">      45300 Realized Gains and Losses</t>
  </si>
  <si>
    <t>Sunday, Jan 23, 2022 06:57:53 PM GMT-8 - Accrual Basis</t>
  </si>
  <si>
    <t>Non-profit Accounting Solutions, LLC</t>
  </si>
  <si>
    <t>temporary help</t>
  </si>
  <si>
    <t xml:space="preserve">   60013 Vanguard Investment Fees</t>
  </si>
  <si>
    <t>Sunday, Mar 27, 2022 05:48:00 PM GMT-7</t>
  </si>
  <si>
    <t>Fiscal 2023</t>
  </si>
  <si>
    <t>Assets</t>
  </si>
  <si>
    <t>end of Mar</t>
  </si>
  <si>
    <t>say</t>
  </si>
  <si>
    <t>L &amp; L Budget exp</t>
  </si>
  <si>
    <t>Personnel</t>
  </si>
  <si>
    <t>Supplies</t>
  </si>
  <si>
    <t>Amy</t>
  </si>
  <si>
    <t>Kim</t>
  </si>
  <si>
    <t>rate</t>
  </si>
  <si>
    <t>per week</t>
  </si>
  <si>
    <t>extended</t>
  </si>
  <si>
    <t>Linda</t>
  </si>
  <si>
    <t>hrs</t>
  </si>
  <si>
    <t>weeks</t>
  </si>
  <si>
    <t>Website</t>
  </si>
  <si>
    <t>Merissa</t>
  </si>
  <si>
    <t>Month</t>
  </si>
  <si>
    <t>Incentive Grant</t>
  </si>
  <si>
    <t>Incentive</t>
  </si>
  <si>
    <t>Ann</t>
  </si>
  <si>
    <t>reporting</t>
  </si>
  <si>
    <t>3 hours</t>
  </si>
  <si>
    <t xml:space="preserve">Ann </t>
  </si>
  <si>
    <t>450/qtr</t>
  </si>
  <si>
    <t>tax benefits</t>
  </si>
  <si>
    <t>Training</t>
  </si>
  <si>
    <t>Marketing</t>
  </si>
  <si>
    <t>Program (Celebration)</t>
  </si>
  <si>
    <t>Travel</t>
  </si>
  <si>
    <t>Celebration</t>
  </si>
  <si>
    <t>paper</t>
  </si>
  <si>
    <t>toner</t>
  </si>
  <si>
    <t>Promotional</t>
  </si>
  <si>
    <t>Social Media</t>
  </si>
  <si>
    <t>Marketing:</t>
  </si>
  <si>
    <t>per JfedShawtrip</t>
  </si>
  <si>
    <t>Pa</t>
  </si>
  <si>
    <t>Mercer</t>
  </si>
  <si>
    <t># of trips</t>
  </si>
  <si>
    <t>As of March 31, 2022</t>
  </si>
  <si>
    <t>Saturday, Apr 23, 2022 04:30:05 PM GMT-7 - Accrual Basis</t>
  </si>
  <si>
    <t>July - March, 2022</t>
  </si>
  <si>
    <t>Saturday, Apr 23, 2022 04:31:17 PM GMT-7 - Accrual Basis</t>
  </si>
  <si>
    <t>Saturday, Apr 23, 2022 04:32:01 PM GMT-7</t>
  </si>
  <si>
    <t>Netcentric IT Management, Inc.</t>
  </si>
  <si>
    <t>The Creative Group</t>
  </si>
  <si>
    <t>Asset Summary as of March 31, 2022</t>
  </si>
  <si>
    <t>03.31.2022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</si>
</sst>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0" fontId="5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12" fillId="0" borderId="0" xfId="4" quotePrefix="1" applyFont="1" applyBorder="1"/>
    <xf numFmtId="0" fontId="12" fillId="0" borderId="0" xfId="4" applyFont="1" applyBorder="1"/>
    <xf numFmtId="43" fontId="0" fillId="0" borderId="0" xfId="1" applyFont="1"/>
    <xf numFmtId="169" fontId="19" fillId="0" borderId="9" xfId="1" applyNumberFormat="1" applyFont="1" applyBorder="1"/>
    <xf numFmtId="0" fontId="0" fillId="0" borderId="0" xfId="0"/>
    <xf numFmtId="167" fontId="0" fillId="0" borderId="0" xfId="1" applyNumberFormat="1" applyFont="1"/>
    <xf numFmtId="0" fontId="0" fillId="0" borderId="0" xfId="0"/>
    <xf numFmtId="0" fontId="0" fillId="0" borderId="0" xfId="0"/>
    <xf numFmtId="0" fontId="22" fillId="0" borderId="0" xfId="0" applyFont="1" applyAlignment="1">
      <alignment horizontal="left" wrapText="1"/>
    </xf>
    <xf numFmtId="164" fontId="23" fillId="0" borderId="0" xfId="0" applyNumberFormat="1" applyFont="1" applyAlignment="1">
      <alignment wrapText="1"/>
    </xf>
    <xf numFmtId="164" fontId="23" fillId="0" borderId="0" xfId="0" applyNumberFormat="1" applyFont="1" applyAlignment="1">
      <alignment horizontal="right" wrapText="1"/>
    </xf>
    <xf numFmtId="165" fontId="22" fillId="0" borderId="2" xfId="0" applyNumberFormat="1" applyFont="1" applyBorder="1" applyAlignment="1">
      <alignment horizontal="right" wrapText="1"/>
    </xf>
    <xf numFmtId="167" fontId="0" fillId="0" borderId="0" xfId="1" applyNumberFormat="1" applyFont="1" applyFill="1"/>
    <xf numFmtId="0" fontId="0" fillId="0" borderId="0" xfId="0"/>
    <xf numFmtId="0" fontId="5" fillId="0" borderId="0" xfId="0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43" fontId="0" fillId="0" borderId="0" xfId="0" applyNumberFormat="1"/>
    <xf numFmtId="0" fontId="0" fillId="0" borderId="13" xfId="0" applyBorder="1"/>
    <xf numFmtId="0" fontId="0" fillId="0" borderId="0" xfId="0" applyFill="1" applyBorder="1"/>
    <xf numFmtId="0" fontId="0" fillId="0" borderId="0" xfId="0"/>
    <xf numFmtId="0" fontId="5" fillId="0" borderId="1" xfId="0" applyFont="1" applyBorder="1" applyAlignment="1">
      <alignment horizontal="center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474059</xdr:colOff>
      <xdr:row>0</xdr:row>
      <xdr:rowOff>37407</xdr:rowOff>
    </xdr:from>
    <xdr:to>
      <xdr:col>13</xdr:col>
      <xdr:colOff>514350</xdr:colOff>
      <xdr:row>22</xdr:row>
      <xdr:rowOff>161924</xdr:rowOff>
    </xdr:to>
    <xdr:pic>
      <xdr:nvPicPr>
        <xdr:cNvPr id="2" name="Picture 1" descr="Home - WOW Hockey">
          <a:extLst>
            <a:ext uri="{FF2B5EF4-FFF2-40B4-BE49-F238E27FC236}">
              <a16:creationId xmlns:a16="http://schemas.microsoft.com/office/drawing/2014/main" id="{2321D0C8-9612-4FF8-9E3D-7B5B27141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2459" y="37407"/>
          <a:ext cx="5526691" cy="431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15E6-79D0-4E30-B2FA-144B1E92D9F4}">
  <dimension ref="A1"/>
  <sheetViews>
    <sheetView showGridLines="0" workbookViewId="0">
      <selection activeCell="P6" sqref="P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X41"/>
  <sheetViews>
    <sheetView topLeftCell="B7" zoomScale="120" zoomScaleNormal="120" workbookViewId="0">
      <pane xSplit="3" ySplit="2" topLeftCell="J9" activePane="bottomRight" state="frozen"/>
      <selection activeCell="B7" sqref="B7"/>
      <selection pane="topRight" activeCell="E7" sqref="E7"/>
      <selection pane="bottomLeft" activeCell="B9" sqref="B9"/>
      <selection pane="bottomRight" activeCell="N17" sqref="N17"/>
    </sheetView>
  </sheetViews>
  <sheetFormatPr defaultColWidth="9.140625" defaultRowHeight="15" x14ac:dyDescent="0.25"/>
  <cols>
    <col min="1" max="1" width="3.5703125" style="26" hidden="1" customWidth="1"/>
    <col min="2" max="2" width="25.7109375" style="26" customWidth="1"/>
    <col min="3" max="3" width="14.85546875" style="26" customWidth="1"/>
    <col min="4" max="4" width="19.42578125" style="26" customWidth="1"/>
    <col min="5" max="5" width="12.5703125" style="26" customWidth="1"/>
    <col min="6" max="6" width="11.28515625" style="26" customWidth="1"/>
    <col min="7" max="7" width="13.28515625" style="26" customWidth="1"/>
    <col min="8" max="8" width="12" style="26" customWidth="1"/>
    <col min="9" max="9" width="10.5703125" style="26" bestFit="1" customWidth="1"/>
    <col min="10" max="10" width="13.85546875" style="26" customWidth="1"/>
    <col min="11" max="14" width="11.28515625" style="26" customWidth="1"/>
    <col min="15" max="15" width="10.42578125" style="26" customWidth="1"/>
    <col min="16" max="16" width="1.28515625" style="26" customWidth="1"/>
    <col min="17" max="17" width="1.42578125" style="26" customWidth="1"/>
    <col min="18" max="22" width="15.7109375" style="26" customWidth="1"/>
    <col min="23" max="23" width="21.7109375" style="26" bestFit="1" customWidth="1"/>
    <col min="24" max="24" width="19.42578125" style="26" bestFit="1" customWidth="1"/>
    <col min="25" max="16384" width="9.140625" style="26"/>
  </cols>
  <sheetData>
    <row r="1" spans="1:24" s="41" customFormat="1" ht="26.25" customHeight="1" x14ac:dyDescent="0.2">
      <c r="A1" s="112" t="s">
        <v>141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24" s="41" customFormat="1" ht="26.25" customHeight="1" x14ac:dyDescent="0.2">
      <c r="A2" s="112" t="s">
        <v>142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24" s="41" customFormat="1" ht="26.25" x14ac:dyDescent="0.4">
      <c r="A3" s="113" t="s">
        <v>157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24" s="41" customFormat="1" ht="26.25" x14ac:dyDescent="0.4">
      <c r="A4" s="113" t="s">
        <v>158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24" s="41" customFormat="1" ht="26.25" x14ac:dyDescent="0.2">
      <c r="A5" s="114" t="s">
        <v>143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24" s="41" customFormat="1" ht="27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26"/>
      <c r="K6" s="26"/>
      <c r="L6" s="26"/>
      <c r="M6" s="26"/>
      <c r="N6" s="26"/>
      <c r="O6" s="26"/>
    </row>
    <row r="7" spans="1:24" s="41" customFormat="1" x14ac:dyDescent="0.25">
      <c r="A7" s="26"/>
      <c r="B7" s="26"/>
      <c r="C7" s="26"/>
      <c r="D7" s="26"/>
      <c r="H7" s="43"/>
      <c r="I7" s="26"/>
      <c r="J7" s="26"/>
      <c r="K7" s="26"/>
      <c r="L7" s="26"/>
      <c r="M7" s="26"/>
      <c r="N7" s="26"/>
      <c r="O7" s="26"/>
    </row>
    <row r="8" spans="1:24" s="41" customFormat="1" ht="45" customHeight="1" x14ac:dyDescent="0.25">
      <c r="A8" s="26"/>
      <c r="B8" s="26"/>
      <c r="C8" s="26"/>
      <c r="D8" s="26"/>
      <c r="E8" s="44" t="s">
        <v>159</v>
      </c>
      <c r="F8" s="44" t="s">
        <v>160</v>
      </c>
      <c r="G8" s="44" t="s">
        <v>161</v>
      </c>
      <c r="H8" s="44" t="s">
        <v>162</v>
      </c>
      <c r="I8" s="44" t="s">
        <v>163</v>
      </c>
      <c r="J8" s="44" t="s">
        <v>164</v>
      </c>
      <c r="K8" s="44" t="s">
        <v>165</v>
      </c>
      <c r="L8" s="44" t="s">
        <v>166</v>
      </c>
      <c r="M8" s="44" t="s">
        <v>167</v>
      </c>
      <c r="N8" s="44" t="s">
        <v>192</v>
      </c>
      <c r="O8" s="45" t="s">
        <v>168</v>
      </c>
      <c r="P8" s="46"/>
    </row>
    <row r="9" spans="1:24" s="41" customFormat="1" ht="23.25" x14ac:dyDescent="0.35">
      <c r="A9" s="26"/>
      <c r="B9" s="47" t="s">
        <v>169</v>
      </c>
      <c r="C9" s="26"/>
      <c r="D9" s="26"/>
      <c r="E9" s="48"/>
      <c r="F9" s="48"/>
      <c r="G9" s="48"/>
      <c r="H9" s="48"/>
      <c r="I9" s="48"/>
      <c r="J9" s="48"/>
      <c r="K9" s="48"/>
      <c r="L9" s="48"/>
      <c r="M9" s="26"/>
      <c r="N9" s="26"/>
      <c r="O9" s="49"/>
      <c r="P9" s="50"/>
    </row>
    <row r="10" spans="1:24" s="41" customFormat="1" x14ac:dyDescent="0.25">
      <c r="A10" s="26"/>
      <c r="B10" s="26"/>
      <c r="C10" s="26"/>
      <c r="D10" s="26"/>
      <c r="E10" s="51"/>
      <c r="F10" s="48"/>
      <c r="G10" s="48"/>
      <c r="H10" s="48"/>
      <c r="I10" s="48"/>
      <c r="J10" s="48"/>
      <c r="K10" s="48"/>
      <c r="L10" s="48"/>
      <c r="M10" s="52"/>
      <c r="N10" s="52"/>
      <c r="O10" s="53"/>
      <c r="P10" s="50"/>
    </row>
    <row r="11" spans="1:24" s="41" customFormat="1" ht="18" customHeight="1" x14ac:dyDescent="0.3">
      <c r="B11" s="54" t="s">
        <v>170</v>
      </c>
      <c r="D11" s="55"/>
      <c r="E11" s="56">
        <f>+C33/10^6</f>
        <v>6.7799264599999995</v>
      </c>
      <c r="F11" s="56">
        <f t="shared" ref="F11:L11" si="0">+E17</f>
        <v>7.355995029999999</v>
      </c>
      <c r="G11" s="56">
        <f t="shared" si="0"/>
        <v>8.8975125699999982</v>
      </c>
      <c r="H11" s="56">
        <f t="shared" si="0"/>
        <v>8.4806887299999989</v>
      </c>
      <c r="I11" s="56">
        <f t="shared" si="0"/>
        <v>8.3226854699999997</v>
      </c>
      <c r="J11" s="56">
        <f t="shared" si="0"/>
        <v>10.52460597</v>
      </c>
      <c r="K11" s="56">
        <f t="shared" si="0"/>
        <v>10.89581907</v>
      </c>
      <c r="L11" s="56">
        <f t="shared" si="0"/>
        <v>10.945213580000001</v>
      </c>
      <c r="M11" s="56">
        <f>+L17</f>
        <v>10.479769140000002</v>
      </c>
      <c r="N11" s="56">
        <f>+M17</f>
        <v>14.680762140000001</v>
      </c>
      <c r="O11" s="57">
        <f>+E11</f>
        <v>6.7799264599999995</v>
      </c>
      <c r="P11" s="50"/>
    </row>
    <row r="12" spans="1:24" s="41" customFormat="1" ht="18" customHeight="1" x14ac:dyDescent="0.3">
      <c r="B12" s="54" t="s">
        <v>171</v>
      </c>
      <c r="D12" s="55"/>
      <c r="E12" s="56">
        <f t="shared" ref="E12:K15" si="1">+C34/10^6</f>
        <v>0.83821375999999992</v>
      </c>
      <c r="F12" s="56">
        <f t="shared" si="1"/>
        <v>1.1313998599999999</v>
      </c>
      <c r="G12" s="56">
        <f t="shared" si="1"/>
        <v>0.65697110000000014</v>
      </c>
      <c r="H12" s="56">
        <f t="shared" si="1"/>
        <v>1.3064777299999999</v>
      </c>
      <c r="I12" s="56">
        <f t="shared" si="1"/>
        <v>2.0766917600000001</v>
      </c>
      <c r="J12" s="56">
        <f t="shared" si="1"/>
        <v>1.0590322000000001</v>
      </c>
      <c r="K12" s="56">
        <f t="shared" si="1"/>
        <v>1.23016897</v>
      </c>
      <c r="L12" s="56">
        <f>+'[1]Summary of Activities Report'!$E$46/10^6</f>
        <v>0.96984260999999983</v>
      </c>
      <c r="M12" s="56">
        <f>3008866/10^6</f>
        <v>3.0088659999999998</v>
      </c>
      <c r="N12" s="56">
        <f>2505029/10^6</f>
        <v>2.505029</v>
      </c>
      <c r="O12" s="57">
        <f>SUM(E12:N12)</f>
        <v>14.782692989999999</v>
      </c>
      <c r="P12" s="50"/>
    </row>
    <row r="13" spans="1:24" s="41" customFormat="1" ht="18" customHeight="1" x14ac:dyDescent="0.3">
      <c r="B13" s="54" t="s">
        <v>172</v>
      </c>
      <c r="D13" s="55"/>
      <c r="E13" s="56">
        <f t="shared" si="1"/>
        <v>-0.94829133999999993</v>
      </c>
      <c r="F13" s="56">
        <f t="shared" si="1"/>
        <v>-0.81162242999999989</v>
      </c>
      <c r="G13" s="56">
        <f t="shared" si="1"/>
        <v>-1.09932192</v>
      </c>
      <c r="H13" s="56">
        <f t="shared" si="1"/>
        <v>-1.27069422</v>
      </c>
      <c r="I13" s="56">
        <f t="shared" si="1"/>
        <v>-0.94343860000000002</v>
      </c>
      <c r="J13" s="56">
        <f t="shared" si="1"/>
        <v>-1.4037089900000002</v>
      </c>
      <c r="K13" s="56">
        <f t="shared" si="1"/>
        <v>-1.5125359199999999</v>
      </c>
      <c r="L13" s="56">
        <f>+'[1]Summary of Activities Report'!$F$46/10^6</f>
        <v>-1.3504425</v>
      </c>
      <c r="M13" s="56">
        <f>-1406567/10^6</f>
        <v>-1.4065669999999999</v>
      </c>
      <c r="N13" s="56">
        <f>-1446293/10^6</f>
        <v>-1.4462930000000001</v>
      </c>
      <c r="O13" s="57">
        <f t="shared" ref="O13:O15" si="2">SUM(E13:N13)</f>
        <v>-12.192915920000001</v>
      </c>
      <c r="P13" s="50"/>
      <c r="W13" s="41" t="s">
        <v>173</v>
      </c>
    </row>
    <row r="14" spans="1:24" s="41" customFormat="1" ht="18" customHeight="1" x14ac:dyDescent="0.3">
      <c r="B14" s="54" t="s">
        <v>174</v>
      </c>
      <c r="D14" s="55"/>
      <c r="E14" s="56">
        <f>+C36/10^6</f>
        <v>0.75534582000000006</v>
      </c>
      <c r="F14" s="56">
        <f t="shared" si="1"/>
        <v>1.3001116499999998</v>
      </c>
      <c r="G14" s="56">
        <f t="shared" si="1"/>
        <v>0.11003288000000006</v>
      </c>
      <c r="H14" s="56">
        <f t="shared" si="1"/>
        <v>-0.11325913000000001</v>
      </c>
      <c r="I14" s="56">
        <f t="shared" si="1"/>
        <v>1.1585334100000002</v>
      </c>
      <c r="J14" s="56">
        <f t="shared" si="1"/>
        <v>0.82240797000000032</v>
      </c>
      <c r="K14" s="56">
        <f t="shared" si="1"/>
        <v>0.43931713000000006</v>
      </c>
      <c r="L14" s="56">
        <f>+'[1]Summary of Activities Report'!$G$47/10^6</f>
        <v>4.5046309999999999E-2</v>
      </c>
      <c r="M14" s="56">
        <f>(2715821)/10^6</f>
        <v>2.715821</v>
      </c>
      <c r="N14" s="56">
        <f>+(256483-995869)/10^6</f>
        <v>-0.73938599999999999</v>
      </c>
      <c r="O14" s="57">
        <f t="shared" si="2"/>
        <v>6.4939710400000008</v>
      </c>
      <c r="P14" s="50"/>
    </row>
    <row r="15" spans="1:24" s="41" customFormat="1" ht="18" customHeight="1" x14ac:dyDescent="0.3">
      <c r="B15" s="54" t="s">
        <v>175</v>
      </c>
      <c r="D15" s="55"/>
      <c r="E15" s="58">
        <f>+C37/10^6</f>
        <v>-6.9199670000000019E-2</v>
      </c>
      <c r="F15" s="58">
        <f t="shared" si="1"/>
        <v>-7.8371540000000031E-2</v>
      </c>
      <c r="G15" s="58">
        <f t="shared" si="1"/>
        <v>-8.4505899999999995E-2</v>
      </c>
      <c r="H15" s="58">
        <f t="shared" si="1"/>
        <v>-8.0527640000000011E-2</v>
      </c>
      <c r="I15" s="58">
        <f t="shared" si="1"/>
        <v>-8.9866070000000034E-2</v>
      </c>
      <c r="J15" s="58">
        <f t="shared" si="1"/>
        <v>-0.10651808000000003</v>
      </c>
      <c r="K15" s="58">
        <f t="shared" si="1"/>
        <v>-0.10755566999999999</v>
      </c>
      <c r="L15" s="58">
        <f>+'[1]Summary of Activities Report'!$H$46/10^6</f>
        <v>-0.12989086</v>
      </c>
      <c r="M15" s="59">
        <f>-117127/10^6</f>
        <v>-0.117127</v>
      </c>
      <c r="N15" s="58">
        <f>-113280/10^6</f>
        <v>-0.11328000000000001</v>
      </c>
      <c r="O15" s="93">
        <f t="shared" si="2"/>
        <v>-0.97684243000000026</v>
      </c>
      <c r="P15" s="60"/>
      <c r="X15" s="61">
        <v>-1242047.3999999999</v>
      </c>
    </row>
    <row r="16" spans="1:24" s="41" customFormat="1" ht="18" customHeight="1" x14ac:dyDescent="0.3">
      <c r="B16" s="54"/>
      <c r="D16" s="5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0"/>
      <c r="V16" s="41" t="s">
        <v>74</v>
      </c>
      <c r="W16" s="63">
        <v>1638838.98</v>
      </c>
    </row>
    <row r="17" spans="1:24" s="41" customFormat="1" ht="19.5" thickBot="1" x14ac:dyDescent="0.35">
      <c r="B17" s="54" t="s">
        <v>176</v>
      </c>
      <c r="D17" s="55"/>
      <c r="E17" s="64">
        <f t="shared" ref="E17:N17" si="3">SUM(E11:E15)</f>
        <v>7.355995029999999</v>
      </c>
      <c r="F17" s="64">
        <f t="shared" si="3"/>
        <v>8.8975125699999982</v>
      </c>
      <c r="G17" s="64">
        <f t="shared" si="3"/>
        <v>8.4806887299999989</v>
      </c>
      <c r="H17" s="64">
        <f t="shared" si="3"/>
        <v>8.3226854699999997</v>
      </c>
      <c r="I17" s="64">
        <f t="shared" si="3"/>
        <v>10.52460597</v>
      </c>
      <c r="J17" s="64">
        <f t="shared" si="3"/>
        <v>10.89581907</v>
      </c>
      <c r="K17" s="64">
        <f t="shared" si="3"/>
        <v>10.945213580000001</v>
      </c>
      <c r="L17" s="64">
        <f t="shared" si="3"/>
        <v>10.479769140000002</v>
      </c>
      <c r="M17" s="64">
        <f t="shared" si="3"/>
        <v>14.680762140000001</v>
      </c>
      <c r="N17" s="64">
        <f t="shared" si="3"/>
        <v>14.886832139999999</v>
      </c>
      <c r="O17" s="65">
        <f>SUM(O11:O15)</f>
        <v>14.886832140000001</v>
      </c>
      <c r="P17" s="66"/>
      <c r="V17" s="41" t="s">
        <v>73</v>
      </c>
      <c r="W17" s="63"/>
    </row>
    <row r="18" spans="1:24" s="41" customFormat="1" ht="12.75" customHeight="1" thickTop="1" x14ac:dyDescent="0.3">
      <c r="A18" s="55"/>
      <c r="B18" s="55"/>
      <c r="D18" s="55"/>
      <c r="F18" s="26"/>
      <c r="G18" s="26"/>
      <c r="H18" s="26"/>
      <c r="I18" s="56"/>
      <c r="J18" s="26"/>
      <c r="K18" s="67"/>
      <c r="L18" s="67"/>
      <c r="M18" s="26"/>
      <c r="N18" s="26"/>
      <c r="O18" s="68"/>
      <c r="P18" s="60"/>
      <c r="V18" s="69" t="s">
        <v>72</v>
      </c>
      <c r="W18" s="63">
        <v>297559.17</v>
      </c>
      <c r="X18" s="70">
        <f>+W18+W20</f>
        <v>2009430.2699999998</v>
      </c>
    </row>
    <row r="19" spans="1:24" s="41" customFormat="1" ht="18.75" x14ac:dyDescent="0.3">
      <c r="B19" s="10"/>
      <c r="D19" s="26"/>
      <c r="E19" s="56">
        <f>+E14+E15</f>
        <v>0.68614615000000001</v>
      </c>
      <c r="F19" s="56">
        <f t="shared" ref="F19:M19" si="4">+F14+F15</f>
        <v>1.2217401099999998</v>
      </c>
      <c r="G19" s="56">
        <f t="shared" si="4"/>
        <v>2.552698000000006E-2</v>
      </c>
      <c r="H19" s="56">
        <f t="shared" si="4"/>
        <v>-0.19378677000000002</v>
      </c>
      <c r="I19" s="56">
        <f t="shared" si="4"/>
        <v>1.0686673400000002</v>
      </c>
      <c r="J19" s="56">
        <f t="shared" si="4"/>
        <v>0.71588989000000025</v>
      </c>
      <c r="K19" s="56">
        <f t="shared" si="4"/>
        <v>0.33176146000000006</v>
      </c>
      <c r="L19" s="56">
        <f t="shared" si="4"/>
        <v>-8.4844549999999991E-2</v>
      </c>
      <c r="M19" s="56">
        <f t="shared" si="4"/>
        <v>2.5986940000000001</v>
      </c>
      <c r="N19" s="56">
        <f t="shared" ref="N19" si="5">+N14+N15</f>
        <v>-0.85266600000000004</v>
      </c>
      <c r="O19" s="56"/>
      <c r="V19" s="69" t="s">
        <v>177</v>
      </c>
      <c r="W19" s="63">
        <v>-75</v>
      </c>
    </row>
    <row r="20" spans="1:24" s="41" customFormat="1" ht="18.75" x14ac:dyDescent="0.3">
      <c r="B20" s="10"/>
      <c r="D20" s="26"/>
      <c r="E20" s="71">
        <f>+E19/E17</f>
        <v>9.3277136159239646E-2</v>
      </c>
      <c r="F20" s="71">
        <f t="shared" ref="F20:M20" si="6">+F19/F17</f>
        <v>0.13731254666831003</v>
      </c>
      <c r="G20" s="71">
        <f t="shared" si="6"/>
        <v>3.0100126077849888E-3</v>
      </c>
      <c r="H20" s="71">
        <f t="shared" si="6"/>
        <v>-2.3284163591009769E-2</v>
      </c>
      <c r="I20" s="71">
        <f t="shared" si="6"/>
        <v>0.10153989071383736</v>
      </c>
      <c r="J20" s="71">
        <f t="shared" si="6"/>
        <v>6.5703173428337799E-2</v>
      </c>
      <c r="K20" s="71">
        <f t="shared" si="6"/>
        <v>3.0311099694410901E-2</v>
      </c>
      <c r="L20" s="71">
        <f t="shared" si="6"/>
        <v>-8.0960323521019825E-3</v>
      </c>
      <c r="M20" s="71">
        <f t="shared" si="6"/>
        <v>0.17701356204930652</v>
      </c>
      <c r="N20" s="71">
        <f t="shared" ref="N20" si="7">+N19/N17</f>
        <v>-5.7276524110790442E-2</v>
      </c>
      <c r="O20" s="71"/>
      <c r="V20" s="41" t="s">
        <v>71</v>
      </c>
      <c r="W20" s="63">
        <v>1711871.0999999999</v>
      </c>
    </row>
    <row r="21" spans="1:24" s="41" customFormat="1" ht="18.75" customHeight="1" x14ac:dyDescent="0.25">
      <c r="A21" s="26"/>
      <c r="B21" s="72" t="s">
        <v>178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V21" s="41" t="s">
        <v>70</v>
      </c>
      <c r="W21" s="63">
        <v>-85190.720000000001</v>
      </c>
    </row>
    <row r="22" spans="1:24" s="41" customFormat="1" ht="18.75" customHeight="1" x14ac:dyDescent="0.25">
      <c r="A22" s="26"/>
      <c r="B22" s="72" t="s">
        <v>179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V22" s="41" t="s">
        <v>69</v>
      </c>
      <c r="W22" s="63">
        <v>3563003.53</v>
      </c>
    </row>
    <row r="23" spans="1:24" ht="18.75" x14ac:dyDescent="0.3">
      <c r="A23" s="73"/>
      <c r="B23" s="74"/>
      <c r="V23" s="26" t="s">
        <v>67</v>
      </c>
      <c r="W23" s="61"/>
    </row>
    <row r="24" spans="1:24" ht="24" thickBot="1" x14ac:dyDescent="0.4">
      <c r="A24" s="73"/>
      <c r="B24" s="47" t="s">
        <v>180</v>
      </c>
      <c r="E24" s="75">
        <v>69</v>
      </c>
      <c r="F24" s="75">
        <v>77</v>
      </c>
      <c r="G24" s="75">
        <v>89</v>
      </c>
      <c r="H24" s="75">
        <v>103</v>
      </c>
      <c r="I24" s="75">
        <v>119</v>
      </c>
      <c r="J24" s="75">
        <v>122</v>
      </c>
      <c r="K24" s="75">
        <v>122</v>
      </c>
      <c r="L24" s="75">
        <v>121</v>
      </c>
      <c r="M24" s="75">
        <f>+L24</f>
        <v>121</v>
      </c>
      <c r="N24" s="75"/>
      <c r="O24" s="75"/>
      <c r="V24" s="26" t="s">
        <v>66</v>
      </c>
      <c r="W24" s="61"/>
    </row>
    <row r="25" spans="1:24" ht="15.75" thickTop="1" x14ac:dyDescent="0.25">
      <c r="M25" s="26">
        <v>17</v>
      </c>
      <c r="V25" s="26" t="s">
        <v>65</v>
      </c>
    </row>
    <row r="26" spans="1:24" x14ac:dyDescent="0.25">
      <c r="B26" s="41"/>
      <c r="M26" s="26">
        <v>27</v>
      </c>
      <c r="W26" s="61">
        <v>2320956.13</v>
      </c>
    </row>
    <row r="27" spans="1:24" x14ac:dyDescent="0.25">
      <c r="M27" s="26">
        <v>12</v>
      </c>
      <c r="W27" s="61"/>
    </row>
    <row r="28" spans="1:24" x14ac:dyDescent="0.25">
      <c r="M28" s="26">
        <v>6</v>
      </c>
    </row>
    <row r="29" spans="1:24" x14ac:dyDescent="0.25">
      <c r="B29" s="79" t="s">
        <v>181</v>
      </c>
      <c r="C29" s="76" t="s">
        <v>182</v>
      </c>
      <c r="D29" s="2"/>
      <c r="E29" s="2"/>
      <c r="F29" s="2"/>
      <c r="G29" s="2"/>
      <c r="H29" s="2"/>
      <c r="I29" s="2"/>
      <c r="J29" s="2"/>
      <c r="M29" s="26">
        <v>68</v>
      </c>
    </row>
    <row r="30" spans="1:24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24" x14ac:dyDescent="0.25">
      <c r="B31" s="76"/>
      <c r="C31" s="79" t="s">
        <v>183</v>
      </c>
      <c r="D31" s="76"/>
      <c r="E31" s="76"/>
      <c r="F31" s="76"/>
      <c r="G31" s="76"/>
      <c r="H31" s="76"/>
      <c r="I31" s="76"/>
      <c r="J31" s="76"/>
    </row>
    <row r="32" spans="1:24" x14ac:dyDescent="0.25">
      <c r="B32" s="79" t="s">
        <v>184</v>
      </c>
      <c r="C32" s="76">
        <v>13</v>
      </c>
      <c r="D32" s="76">
        <v>14</v>
      </c>
      <c r="E32" s="76">
        <v>15</v>
      </c>
      <c r="F32" s="76">
        <v>16</v>
      </c>
      <c r="G32" s="76">
        <v>17</v>
      </c>
      <c r="H32" s="76">
        <v>18</v>
      </c>
      <c r="I32" s="76">
        <v>19</v>
      </c>
      <c r="J32" s="76" t="s">
        <v>185</v>
      </c>
    </row>
    <row r="33" spans="2:10" x14ac:dyDescent="0.25">
      <c r="B33" s="77" t="s">
        <v>186</v>
      </c>
      <c r="C33" s="77">
        <v>6779926.46</v>
      </c>
      <c r="D33" s="77">
        <v>7355995.04</v>
      </c>
      <c r="E33" s="77">
        <v>8897512.5799999945</v>
      </c>
      <c r="F33" s="78">
        <v>8480688.7400000002</v>
      </c>
      <c r="G33" s="77">
        <v>8322685.4800000004</v>
      </c>
      <c r="H33" s="77">
        <v>10524606.049999999</v>
      </c>
      <c r="I33" s="77">
        <v>10895819.149999999</v>
      </c>
      <c r="J33" s="77">
        <v>61257233.499999993</v>
      </c>
    </row>
    <row r="34" spans="2:10" x14ac:dyDescent="0.25">
      <c r="B34" s="77" t="s">
        <v>187</v>
      </c>
      <c r="C34" s="77">
        <v>838213.75999999989</v>
      </c>
      <c r="D34" s="77">
        <v>1131399.8599999999</v>
      </c>
      <c r="E34" s="77">
        <v>656971.10000000009</v>
      </c>
      <c r="F34" s="78">
        <v>1306477.73</v>
      </c>
      <c r="G34" s="77">
        <v>2076691.76</v>
      </c>
      <c r="H34" s="77">
        <v>1059032.2000000002</v>
      </c>
      <c r="I34" s="77">
        <v>1230168.97</v>
      </c>
      <c r="J34" s="77">
        <v>8298955.3799999999</v>
      </c>
    </row>
    <row r="35" spans="2:10" x14ac:dyDescent="0.25">
      <c r="B35" s="77" t="s">
        <v>188</v>
      </c>
      <c r="C35" s="77">
        <v>-948291.34</v>
      </c>
      <c r="D35" s="77">
        <v>-811622.42999999993</v>
      </c>
      <c r="E35" s="77">
        <v>-1099321.92</v>
      </c>
      <c r="F35" s="78">
        <v>-1270694.22</v>
      </c>
      <c r="G35" s="77">
        <v>-943438.6</v>
      </c>
      <c r="H35" s="77">
        <v>-1403708.9900000002</v>
      </c>
      <c r="I35" s="77">
        <v>-1512535.92</v>
      </c>
      <c r="J35" s="77">
        <v>-7989613.4199999999</v>
      </c>
    </row>
    <row r="36" spans="2:10" x14ac:dyDescent="0.25">
      <c r="B36" s="77" t="s">
        <v>189</v>
      </c>
      <c r="C36" s="77">
        <v>755345.82000000007</v>
      </c>
      <c r="D36" s="77">
        <v>1300111.6499999999</v>
      </c>
      <c r="E36" s="77">
        <v>110032.88000000005</v>
      </c>
      <c r="F36" s="78">
        <v>-113259.13000000002</v>
      </c>
      <c r="G36" s="77">
        <v>1158533.4100000001</v>
      </c>
      <c r="H36" s="77">
        <v>822407.97000000032</v>
      </c>
      <c r="I36" s="77">
        <v>439317.13000000006</v>
      </c>
      <c r="J36" s="77">
        <v>4472489.7300000004</v>
      </c>
    </row>
    <row r="37" spans="2:10" x14ac:dyDescent="0.25">
      <c r="B37" s="77" t="s">
        <v>190</v>
      </c>
      <c r="C37" s="77">
        <v>-69199.670000000013</v>
      </c>
      <c r="D37" s="77">
        <v>-78371.540000000037</v>
      </c>
      <c r="E37" s="77">
        <v>-84505.9</v>
      </c>
      <c r="F37" s="78">
        <v>-80527.640000000014</v>
      </c>
      <c r="G37" s="77">
        <v>-89866.070000000036</v>
      </c>
      <c r="H37" s="77">
        <v>-106518.08000000003</v>
      </c>
      <c r="I37" s="77">
        <v>-107555.67</v>
      </c>
      <c r="J37" s="77">
        <v>-616544.57000000007</v>
      </c>
    </row>
    <row r="38" spans="2:10" x14ac:dyDescent="0.25">
      <c r="B38" s="77" t="s">
        <v>191</v>
      </c>
      <c r="C38" s="77">
        <v>7355995.04</v>
      </c>
      <c r="D38" s="77">
        <v>8897512.5799999945</v>
      </c>
      <c r="E38" s="77">
        <v>8480688.7400000002</v>
      </c>
      <c r="F38" s="78">
        <v>8322685.4800000004</v>
      </c>
      <c r="G38" s="77">
        <v>10524606.049999999</v>
      </c>
      <c r="H38" s="77">
        <v>10895819.15</v>
      </c>
      <c r="I38" s="77">
        <v>10945213.660000002</v>
      </c>
      <c r="J38" s="77">
        <v>65422520.699999996</v>
      </c>
    </row>
    <row r="39" spans="2:10" x14ac:dyDescent="0.25">
      <c r="B39" s="2"/>
      <c r="C39" s="2"/>
      <c r="D39" s="2"/>
      <c r="E39" s="2"/>
      <c r="F39" s="77"/>
      <c r="G39" s="2"/>
      <c r="H39" s="2"/>
      <c r="I39" s="2"/>
      <c r="J39" s="2"/>
    </row>
    <row r="40" spans="2:10" x14ac:dyDescent="0.25">
      <c r="I40" s="26" t="e">
        <f>+GETPIVOTDATA("Sum of Beginning Balance",'[2]SOA Jul19_Apr20'!$D$134)</f>
        <v>#REF!</v>
      </c>
    </row>
    <row r="41" spans="2:10" x14ac:dyDescent="0.25">
      <c r="I41" s="26" t="e">
        <f>+I40-GETPIVOTDATA("Sum of Ending Balance",$B$31,"FY",19)</f>
        <v>#REF!</v>
      </c>
    </row>
  </sheetData>
  <mergeCells count="5">
    <mergeCell ref="A1:O1"/>
    <mergeCell ref="A2:O2"/>
    <mergeCell ref="A3:O3"/>
    <mergeCell ref="A4:O4"/>
    <mergeCell ref="A5:O5"/>
  </mergeCells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X44"/>
  <sheetViews>
    <sheetView topLeftCell="B1" zoomScale="130" zoomScaleNormal="130" workbookViewId="0">
      <pane xSplit="1" ySplit="9" topLeftCell="C32" activePane="bottomRight" state="frozen"/>
      <selection activeCell="B1" sqref="B1"/>
      <selection pane="topRight" activeCell="C1" sqref="C1"/>
      <selection pane="bottomLeft" activeCell="B10" sqref="B10"/>
      <selection pane="bottomRight" activeCell="F34" sqref="F34"/>
    </sheetView>
  </sheetViews>
  <sheetFormatPr defaultColWidth="9.140625" defaultRowHeight="15" x14ac:dyDescent="0.25"/>
  <cols>
    <col min="1" max="1" width="5.42578125" style="10" customWidth="1"/>
    <col min="2" max="2" width="33.85546875" style="10" customWidth="1"/>
    <col min="3" max="3" width="14.5703125" style="10" customWidth="1"/>
    <col min="4" max="4" width="14.7109375" style="10" bestFit="1" customWidth="1"/>
    <col min="5" max="5" width="5.140625" style="10" customWidth="1"/>
    <col min="6" max="6" width="14.28515625" style="10" bestFit="1" customWidth="1"/>
    <col min="7" max="7" width="10.28515625" style="10" customWidth="1"/>
    <col min="8" max="8" width="13" style="10" customWidth="1"/>
    <col min="9" max="14" width="10.28515625" style="10" customWidth="1"/>
    <col min="15" max="15" width="14.28515625" style="10" bestFit="1" customWidth="1"/>
    <col min="16" max="16" width="12.5703125" style="10" customWidth="1"/>
    <col min="17" max="17" width="11.28515625" style="10" bestFit="1" customWidth="1"/>
    <col min="18" max="19" width="9.140625" style="10"/>
    <col min="20" max="20" width="16.5703125" style="10" customWidth="1"/>
    <col min="21" max="21" width="15.7109375" style="10" customWidth="1"/>
    <col min="22" max="22" width="16.85546875" style="10" customWidth="1"/>
    <col min="23" max="16384" width="9.140625" style="10"/>
  </cols>
  <sheetData>
    <row r="1" spans="2:24" ht="18" customHeight="1" x14ac:dyDescent="0.25">
      <c r="B1" s="115" t="s">
        <v>141</v>
      </c>
      <c r="C1" s="115"/>
      <c r="D1" s="115"/>
      <c r="E1" s="115"/>
      <c r="F1" s="115"/>
    </row>
    <row r="2" spans="2:24" ht="21" x14ac:dyDescent="0.25">
      <c r="B2" s="115" t="s">
        <v>142</v>
      </c>
      <c r="C2" s="115"/>
      <c r="D2" s="115"/>
      <c r="E2" s="115"/>
      <c r="F2" s="115"/>
    </row>
    <row r="3" spans="2:24" ht="21" customHeight="1" x14ac:dyDescent="0.25">
      <c r="B3" s="115" t="s">
        <v>263</v>
      </c>
      <c r="C3" s="115"/>
      <c r="D3" s="115"/>
      <c r="E3" s="115"/>
      <c r="F3" s="115"/>
    </row>
    <row r="4" spans="2:24" ht="18" customHeight="1" x14ac:dyDescent="0.25">
      <c r="B4" s="115" t="s">
        <v>143</v>
      </c>
      <c r="C4" s="115"/>
      <c r="D4" s="115"/>
      <c r="E4" s="115"/>
      <c r="F4" s="115"/>
    </row>
    <row r="6" spans="2:24" ht="12.95" customHeight="1" x14ac:dyDescent="0.25">
      <c r="D6" s="11"/>
      <c r="E6" s="12"/>
      <c r="F6" s="13"/>
    </row>
    <row r="7" spans="2:24" ht="12.95" customHeight="1" x14ac:dyDescent="0.25">
      <c r="D7" s="11"/>
      <c r="E7" s="12"/>
      <c r="F7" s="14"/>
    </row>
    <row r="8" spans="2:24" ht="12.95" hidden="1" customHeight="1" x14ac:dyDescent="0.25">
      <c r="D8" s="11"/>
      <c r="E8" s="12"/>
      <c r="F8" s="13"/>
      <c r="R8" s="2"/>
      <c r="S8" s="2"/>
      <c r="T8" s="2"/>
      <c r="U8" s="2"/>
      <c r="V8" s="2"/>
      <c r="W8" s="2"/>
    </row>
    <row r="9" spans="2:24" ht="12.95" customHeight="1" x14ac:dyDescent="0.25">
      <c r="C9" s="15"/>
      <c r="D9" s="16"/>
      <c r="E9" s="17"/>
      <c r="F9" s="18" t="s">
        <v>264</v>
      </c>
      <c r="R9" s="2"/>
      <c r="S9" s="2"/>
      <c r="T9" s="2"/>
      <c r="U9" s="2"/>
      <c r="V9" s="2"/>
      <c r="W9" s="2"/>
    </row>
    <row r="10" spans="2:24" ht="12.95" customHeight="1" x14ac:dyDescent="0.25">
      <c r="B10" s="19" t="s">
        <v>144</v>
      </c>
      <c r="C10" s="15"/>
      <c r="D10" s="16"/>
      <c r="E10" s="17"/>
      <c r="F10" s="20"/>
      <c r="R10" s="2"/>
      <c r="S10" s="2"/>
      <c r="T10" s="2"/>
      <c r="U10" s="2"/>
      <c r="V10" s="2"/>
      <c r="W10" s="2"/>
      <c r="X10" s="21"/>
    </row>
    <row r="11" spans="2:24" ht="12.95" customHeight="1" x14ac:dyDescent="0.25">
      <c r="B11" s="22" t="s">
        <v>145</v>
      </c>
      <c r="D11" s="23"/>
      <c r="E11" s="17"/>
      <c r="F11" s="24">
        <v>2999047.61</v>
      </c>
      <c r="O11" s="25"/>
      <c r="R11" s="2"/>
      <c r="S11" s="2"/>
      <c r="T11" s="2"/>
      <c r="U11" s="2"/>
      <c r="V11" s="2"/>
      <c r="W11" s="2"/>
      <c r="X11" s="26"/>
    </row>
    <row r="12" spans="2:24" ht="12.95" hidden="1" customHeight="1" x14ac:dyDescent="0.25">
      <c r="D12" s="27"/>
      <c r="F12" s="20"/>
      <c r="O12" s="25"/>
      <c r="R12" s="2"/>
      <c r="S12" s="2"/>
      <c r="T12" s="2"/>
      <c r="U12" s="2"/>
      <c r="V12" s="2"/>
      <c r="W12" s="2"/>
      <c r="X12" s="26"/>
    </row>
    <row r="13" spans="2:24" ht="12.95" customHeight="1" x14ac:dyDescent="0.25">
      <c r="D13" s="27"/>
      <c r="F13" s="20"/>
      <c r="O13" s="25"/>
      <c r="R13" s="2"/>
      <c r="S13" s="2"/>
      <c r="T13" s="2"/>
      <c r="U13" s="2"/>
      <c r="V13" s="2"/>
      <c r="W13" s="2"/>
      <c r="X13" s="26"/>
    </row>
    <row r="14" spans="2:24" ht="12.95" customHeight="1" x14ac:dyDescent="0.25">
      <c r="B14" s="19" t="s">
        <v>146</v>
      </c>
      <c r="D14" s="27"/>
      <c r="F14" s="28"/>
      <c r="O14" s="25"/>
      <c r="R14" s="2"/>
      <c r="S14" s="2"/>
      <c r="T14" s="2"/>
      <c r="U14" s="2"/>
      <c r="V14" s="2"/>
      <c r="W14" s="2"/>
    </row>
    <row r="15" spans="2:24" ht="12.95" hidden="1" customHeight="1" x14ac:dyDescent="0.25">
      <c r="D15" s="27"/>
      <c r="F15" s="20"/>
      <c r="O15" s="25"/>
      <c r="R15" s="2"/>
      <c r="S15" s="2"/>
      <c r="T15" s="2"/>
      <c r="U15" s="2"/>
      <c r="V15" s="2"/>
      <c r="W15" s="2"/>
    </row>
    <row r="16" spans="2:24" ht="12.95" customHeight="1" x14ac:dyDescent="0.25">
      <c r="B16" s="22" t="s">
        <v>147</v>
      </c>
      <c r="C16" s="22"/>
      <c r="D16" s="27"/>
      <c r="F16" s="20">
        <v>6689911.6900000004</v>
      </c>
      <c r="G16" s="29"/>
      <c r="H16" s="29"/>
      <c r="I16" s="29"/>
      <c r="J16" s="29"/>
      <c r="K16" s="29"/>
      <c r="L16" s="29"/>
      <c r="M16" s="29"/>
      <c r="N16" s="29"/>
      <c r="O16" s="25"/>
      <c r="P16" s="30"/>
      <c r="R16" s="2"/>
      <c r="S16" s="2"/>
      <c r="T16" s="2"/>
      <c r="U16" s="2"/>
      <c r="V16" s="2"/>
      <c r="W16" s="2"/>
    </row>
    <row r="17" spans="2:23" ht="12.95" customHeight="1" x14ac:dyDescent="0.25">
      <c r="D17" s="27"/>
      <c r="O17" s="25"/>
      <c r="R17" s="2"/>
      <c r="S17" s="2"/>
      <c r="T17" s="2"/>
      <c r="U17" s="2"/>
      <c r="V17" s="2"/>
      <c r="W17" s="2"/>
    </row>
    <row r="18" spans="2:23" ht="12.95" hidden="1" customHeight="1" x14ac:dyDescent="0.25">
      <c r="D18" s="27"/>
      <c r="F18" s="20"/>
      <c r="R18" s="2"/>
      <c r="S18" s="2"/>
      <c r="T18" s="2"/>
      <c r="U18" s="2"/>
      <c r="V18" s="2"/>
      <c r="W18" s="2"/>
    </row>
    <row r="19" spans="2:23" ht="12.95" customHeight="1" x14ac:dyDescent="0.25">
      <c r="B19" s="19" t="s">
        <v>148</v>
      </c>
      <c r="D19" s="27"/>
      <c r="F19" s="28"/>
      <c r="R19" s="2"/>
      <c r="S19" s="2"/>
      <c r="T19" s="2"/>
      <c r="U19" s="2"/>
      <c r="V19" s="2"/>
      <c r="W19" s="2"/>
    </row>
    <row r="20" spans="2:23" ht="12.95" hidden="1" customHeight="1" x14ac:dyDescent="0.25">
      <c r="D20" s="31"/>
      <c r="F20" s="20"/>
    </row>
    <row r="21" spans="2:23" ht="12.95" customHeight="1" x14ac:dyDescent="0.25">
      <c r="B21" s="22" t="s">
        <v>149</v>
      </c>
      <c r="C21" s="22"/>
      <c r="D21" s="25"/>
      <c r="F21" s="20">
        <v>791613.22</v>
      </c>
      <c r="G21" s="29"/>
      <c r="H21" s="29"/>
      <c r="I21" s="29"/>
      <c r="J21" s="29"/>
      <c r="K21" s="29"/>
      <c r="L21" s="29"/>
      <c r="M21" s="29"/>
      <c r="N21" s="29"/>
      <c r="O21" s="30"/>
      <c r="P21" s="30"/>
    </row>
    <row r="22" spans="2:23" ht="12.95" customHeight="1" x14ac:dyDescent="0.25">
      <c r="D22" s="25"/>
      <c r="F22" s="20"/>
    </row>
    <row r="23" spans="2:23" ht="12.95" hidden="1" customHeight="1" x14ac:dyDescent="0.25">
      <c r="F23" s="20"/>
    </row>
    <row r="24" spans="2:23" ht="12.95" customHeight="1" x14ac:dyDescent="0.25">
      <c r="B24" s="19" t="s">
        <v>193</v>
      </c>
      <c r="F24" s="32">
        <v>4437460.72</v>
      </c>
    </row>
    <row r="25" spans="2:23" ht="12.95" hidden="1" customHeight="1" x14ac:dyDescent="0.25">
      <c r="F25" s="33"/>
    </row>
    <row r="26" spans="2:23" ht="12.95" customHeight="1" x14ac:dyDescent="0.25">
      <c r="F26" s="33"/>
    </row>
    <row r="27" spans="2:23" ht="12.95" customHeight="1" x14ac:dyDescent="0.25">
      <c r="B27" s="19" t="s">
        <v>150</v>
      </c>
      <c r="F27" s="34">
        <v>459317.6</v>
      </c>
    </row>
    <row r="28" spans="2:23" ht="12.95" customHeight="1" x14ac:dyDescent="0.25">
      <c r="B28" s="19"/>
      <c r="P28" s="35"/>
    </row>
    <row r="29" spans="2:23" ht="15.75" thickBot="1" x14ac:dyDescent="0.3">
      <c r="B29" s="19" t="s">
        <v>151</v>
      </c>
      <c r="F29" s="36">
        <f>SUM(F11:F28)</f>
        <v>15377350.840000002</v>
      </c>
      <c r="H29" s="25"/>
      <c r="I29" s="10" t="s">
        <v>194</v>
      </c>
    </row>
    <row r="30" spans="2:23" ht="15.75" thickTop="1" x14ac:dyDescent="0.25">
      <c r="B30" s="19"/>
      <c r="F30" s="37"/>
    </row>
    <row r="31" spans="2:23" x14ac:dyDescent="0.25">
      <c r="B31" s="19"/>
      <c r="F31" s="37"/>
    </row>
    <row r="32" spans="2:23" x14ac:dyDescent="0.25">
      <c r="B32" s="19"/>
      <c r="F32" s="37"/>
    </row>
    <row r="33" spans="2:24" x14ac:dyDescent="0.25">
      <c r="B33" s="19"/>
      <c r="F33" s="25"/>
    </row>
    <row r="34" spans="2:24" x14ac:dyDescent="0.25">
      <c r="D34" s="10" t="s">
        <v>152</v>
      </c>
      <c r="F34" s="35">
        <f>+F29-F27</f>
        <v>14918033.240000002</v>
      </c>
    </row>
    <row r="36" spans="2:24" x14ac:dyDescent="0.25">
      <c r="F36" s="38"/>
      <c r="O36" s="39"/>
    </row>
    <row r="37" spans="2:24" x14ac:dyDescent="0.25">
      <c r="D37" s="90"/>
      <c r="E37" s="91"/>
      <c r="F37" s="40"/>
    </row>
    <row r="38" spans="2:24" x14ac:dyDescent="0.25">
      <c r="D38" s="91"/>
      <c r="E38" s="91"/>
      <c r="F38" s="40"/>
      <c r="X38" s="10" t="s">
        <v>153</v>
      </c>
    </row>
    <row r="39" spans="2:24" x14ac:dyDescent="0.25">
      <c r="D39" s="91"/>
      <c r="E39" s="91"/>
      <c r="F39" s="40"/>
      <c r="X39" s="10" t="s">
        <v>154</v>
      </c>
    </row>
    <row r="40" spans="2:24" x14ac:dyDescent="0.25">
      <c r="D40" s="91"/>
      <c r="E40" s="91"/>
      <c r="F40" s="40"/>
      <c r="X40" s="10" t="s">
        <v>155</v>
      </c>
    </row>
    <row r="41" spans="2:24" x14ac:dyDescent="0.25">
      <c r="F41" s="40"/>
      <c r="X41" s="10" t="s">
        <v>156</v>
      </c>
    </row>
    <row r="42" spans="2:24" x14ac:dyDescent="0.25">
      <c r="F42" s="29"/>
    </row>
    <row r="43" spans="2:24" x14ac:dyDescent="0.25">
      <c r="F43" s="29"/>
    </row>
    <row r="44" spans="2:24" x14ac:dyDescent="0.25">
      <c r="F44" s="29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opLeftCell="A55" workbookViewId="0">
      <selection activeCell="A74" sqref="A74"/>
    </sheetView>
  </sheetViews>
  <sheetFormatPr defaultRowHeight="15" x14ac:dyDescent="0.25"/>
  <cols>
    <col min="1" max="1" width="43.85546875" style="88" customWidth="1"/>
    <col min="2" max="2" width="39.5703125" style="88" customWidth="1"/>
    <col min="3" max="16384" width="9.140625" style="88"/>
  </cols>
  <sheetData>
    <row r="1" spans="1:2" ht="18" x14ac:dyDescent="0.25">
      <c r="A1" s="118" t="s">
        <v>59</v>
      </c>
      <c r="B1" s="117"/>
    </row>
    <row r="2" spans="1:2" ht="18" x14ac:dyDescent="0.25">
      <c r="A2" s="118" t="s">
        <v>60</v>
      </c>
      <c r="B2" s="117"/>
    </row>
    <row r="3" spans="1:2" x14ac:dyDescent="0.25">
      <c r="A3" s="119" t="s">
        <v>256</v>
      </c>
      <c r="B3" s="117"/>
    </row>
    <row r="5" spans="1:2" x14ac:dyDescent="0.25">
      <c r="A5" s="1"/>
      <c r="B5" s="89" t="s">
        <v>0</v>
      </c>
    </row>
    <row r="6" spans="1:2" x14ac:dyDescent="0.25">
      <c r="A6" s="98" t="s">
        <v>1</v>
      </c>
      <c r="B6" s="99"/>
    </row>
    <row r="7" spans="1:2" x14ac:dyDescent="0.25">
      <c r="A7" s="98" t="s">
        <v>2</v>
      </c>
      <c r="B7" s="99"/>
    </row>
    <row r="8" spans="1:2" x14ac:dyDescent="0.25">
      <c r="A8" s="98" t="s">
        <v>3</v>
      </c>
      <c r="B8" s="99"/>
    </row>
    <row r="9" spans="1:2" x14ac:dyDescent="0.25">
      <c r="A9" s="98" t="s">
        <v>4</v>
      </c>
      <c r="B9" s="100">
        <f>0</f>
        <v>0</v>
      </c>
    </row>
    <row r="10" spans="1:2" x14ac:dyDescent="0.25">
      <c r="A10" s="98" t="s">
        <v>5</v>
      </c>
      <c r="B10" s="100">
        <f>5850.25</f>
        <v>5850.25</v>
      </c>
    </row>
    <row r="11" spans="1:2" x14ac:dyDescent="0.25">
      <c r="A11" s="98" t="s">
        <v>6</v>
      </c>
      <c r="B11" s="100">
        <f>48305.34</f>
        <v>48305.34</v>
      </c>
    </row>
    <row r="12" spans="1:2" x14ac:dyDescent="0.25">
      <c r="A12" s="98" t="s">
        <v>7</v>
      </c>
      <c r="B12" s="100">
        <f>2428.13</f>
        <v>2428.13</v>
      </c>
    </row>
    <row r="13" spans="1:2" x14ac:dyDescent="0.25">
      <c r="A13" s="98" t="s">
        <v>8</v>
      </c>
      <c r="B13" s="100">
        <f>369.83</f>
        <v>369.83</v>
      </c>
    </row>
    <row r="14" spans="1:2" x14ac:dyDescent="0.25">
      <c r="A14" s="98" t="s">
        <v>9</v>
      </c>
      <c r="B14" s="101">
        <f>((((B9)+(B10))+(B11))+(B12))+(B13)</f>
        <v>56953.549999999996</v>
      </c>
    </row>
    <row r="15" spans="1:2" x14ac:dyDescent="0.25">
      <c r="A15" s="98" t="s">
        <v>10</v>
      </c>
      <c r="B15" s="99"/>
    </row>
    <row r="16" spans="1:2" x14ac:dyDescent="0.25">
      <c r="A16" s="98" t="s">
        <v>11</v>
      </c>
      <c r="B16" s="100">
        <f>5000</f>
        <v>5000</v>
      </c>
    </row>
    <row r="17" spans="1:2" x14ac:dyDescent="0.25">
      <c r="A17" s="98" t="s">
        <v>12</v>
      </c>
      <c r="B17" s="101">
        <f>B16</f>
        <v>5000</v>
      </c>
    </row>
    <row r="18" spans="1:2" x14ac:dyDescent="0.25">
      <c r="A18" s="98" t="s">
        <v>13</v>
      </c>
      <c r="B18" s="99"/>
    </row>
    <row r="19" spans="1:2" x14ac:dyDescent="0.25">
      <c r="A19" s="98" t="s">
        <v>14</v>
      </c>
      <c r="B19" s="100">
        <f>0</f>
        <v>0</v>
      </c>
    </row>
    <row r="20" spans="1:2" x14ac:dyDescent="0.25">
      <c r="A20" s="98" t="s">
        <v>15</v>
      </c>
      <c r="B20" s="101">
        <f>B19</f>
        <v>0</v>
      </c>
    </row>
    <row r="21" spans="1:2" x14ac:dyDescent="0.25">
      <c r="A21" s="98" t="s">
        <v>16</v>
      </c>
      <c r="B21" s="101">
        <f>((B14)+(B17))+(B20)</f>
        <v>61953.549999999996</v>
      </c>
    </row>
    <row r="22" spans="1:2" x14ac:dyDescent="0.25">
      <c r="A22" s="98" t="s">
        <v>17</v>
      </c>
      <c r="B22" s="99"/>
    </row>
    <row r="23" spans="1:2" x14ac:dyDescent="0.25">
      <c r="A23" s="98" t="s">
        <v>18</v>
      </c>
      <c r="B23" s="100">
        <f>2328.97</f>
        <v>2328.9699999999998</v>
      </c>
    </row>
    <row r="24" spans="1:2" x14ac:dyDescent="0.25">
      <c r="A24" s="98" t="s">
        <v>19</v>
      </c>
      <c r="B24" s="100">
        <f>-1099.61</f>
        <v>-1099.6099999999999</v>
      </c>
    </row>
    <row r="25" spans="1:2" x14ac:dyDescent="0.25">
      <c r="A25" s="98" t="s">
        <v>20</v>
      </c>
      <c r="B25" s="101">
        <f>(B23)+(B24)</f>
        <v>1229.3599999999999</v>
      </c>
    </row>
    <row r="26" spans="1:2" x14ac:dyDescent="0.25">
      <c r="A26" s="98" t="s">
        <v>21</v>
      </c>
      <c r="B26" s="101">
        <f>B25</f>
        <v>1229.3599999999999</v>
      </c>
    </row>
    <row r="27" spans="1:2" x14ac:dyDescent="0.25">
      <c r="A27" s="98" t="s">
        <v>22</v>
      </c>
      <c r="B27" s="99"/>
    </row>
    <row r="28" spans="1:2" x14ac:dyDescent="0.25">
      <c r="A28" s="98" t="s">
        <v>23</v>
      </c>
      <c r="B28" s="100">
        <f>37.5</f>
        <v>37.5</v>
      </c>
    </row>
    <row r="29" spans="1:2" x14ac:dyDescent="0.25">
      <c r="A29" s="98" t="s">
        <v>24</v>
      </c>
      <c r="B29" s="100">
        <f>12378265.73</f>
        <v>12378265.73</v>
      </c>
    </row>
    <row r="30" spans="1:2" x14ac:dyDescent="0.25">
      <c r="A30" s="98" t="s">
        <v>25</v>
      </c>
      <c r="B30" s="100">
        <f>2992280.24</f>
        <v>2992280.24</v>
      </c>
    </row>
    <row r="31" spans="1:2" x14ac:dyDescent="0.25">
      <c r="A31" s="98" t="s">
        <v>26</v>
      </c>
      <c r="B31" s="100">
        <f>6767.37</f>
        <v>6767.37</v>
      </c>
    </row>
    <row r="32" spans="1:2" x14ac:dyDescent="0.25">
      <c r="A32" s="98" t="s">
        <v>27</v>
      </c>
      <c r="B32" s="101">
        <f>(((B28)+(B29))+(B30))+(B31)</f>
        <v>15377350.84</v>
      </c>
    </row>
    <row r="33" spans="1:2" x14ac:dyDescent="0.25">
      <c r="A33" s="98" t="s">
        <v>28</v>
      </c>
      <c r="B33" s="100">
        <f>0</f>
        <v>0</v>
      </c>
    </row>
    <row r="34" spans="1:2" x14ac:dyDescent="0.25">
      <c r="A34" s="98" t="s">
        <v>29</v>
      </c>
      <c r="B34" s="100">
        <f>0</f>
        <v>0</v>
      </c>
    </row>
    <row r="35" spans="1:2" x14ac:dyDescent="0.25">
      <c r="A35" s="98" t="s">
        <v>30</v>
      </c>
      <c r="B35" s="101">
        <f>(B33)+(B34)</f>
        <v>0</v>
      </c>
    </row>
    <row r="36" spans="1:2" x14ac:dyDescent="0.25">
      <c r="A36" s="98" t="s">
        <v>31</v>
      </c>
      <c r="B36" s="100">
        <f>54546.89</f>
        <v>54546.89</v>
      </c>
    </row>
    <row r="37" spans="1:2" x14ac:dyDescent="0.25">
      <c r="A37" s="98" t="s">
        <v>32</v>
      </c>
      <c r="B37" s="100">
        <f>10561.69</f>
        <v>10561.69</v>
      </c>
    </row>
    <row r="38" spans="1:2" x14ac:dyDescent="0.25">
      <c r="A38" s="98" t="s">
        <v>33</v>
      </c>
      <c r="B38" s="100">
        <f>0</f>
        <v>0</v>
      </c>
    </row>
    <row r="39" spans="1:2" x14ac:dyDescent="0.25">
      <c r="A39" s="98" t="s">
        <v>34</v>
      </c>
      <c r="B39" s="100">
        <f>0</f>
        <v>0</v>
      </c>
    </row>
    <row r="40" spans="1:2" x14ac:dyDescent="0.25">
      <c r="A40" s="98" t="s">
        <v>35</v>
      </c>
      <c r="B40" s="100">
        <f>0</f>
        <v>0</v>
      </c>
    </row>
    <row r="41" spans="1:2" x14ac:dyDescent="0.25">
      <c r="A41" s="98" t="s">
        <v>36</v>
      </c>
      <c r="B41" s="101">
        <f>((((((B32)+(B35))+(B36))+(B37))+(B38))+(B39))+(B40)</f>
        <v>15442459.42</v>
      </c>
    </row>
    <row r="42" spans="1:2" x14ac:dyDescent="0.25">
      <c r="A42" s="98" t="s">
        <v>37</v>
      </c>
      <c r="B42" s="101">
        <f>((B21)+(B26))+(B41)</f>
        <v>15505642.33</v>
      </c>
    </row>
    <row r="43" spans="1:2" x14ac:dyDescent="0.25">
      <c r="A43" s="98" t="s">
        <v>38</v>
      </c>
      <c r="B43" s="99"/>
    </row>
    <row r="44" spans="1:2" x14ac:dyDescent="0.25">
      <c r="A44" s="98" t="s">
        <v>39</v>
      </c>
      <c r="B44" s="99"/>
    </row>
    <row r="45" spans="1:2" x14ac:dyDescent="0.25">
      <c r="A45" s="98" t="s">
        <v>40</v>
      </c>
      <c r="B45" s="99"/>
    </row>
    <row r="46" spans="1:2" x14ac:dyDescent="0.25">
      <c r="A46" s="98" t="s">
        <v>41</v>
      </c>
      <c r="B46" s="99"/>
    </row>
    <row r="47" spans="1:2" x14ac:dyDescent="0.25">
      <c r="A47" s="98" t="s">
        <v>42</v>
      </c>
      <c r="B47" s="100">
        <f>2558.96</f>
        <v>2558.96</v>
      </c>
    </row>
    <row r="48" spans="1:2" x14ac:dyDescent="0.25">
      <c r="A48" s="98" t="s">
        <v>43</v>
      </c>
      <c r="B48" s="101">
        <f>B47</f>
        <v>2558.96</v>
      </c>
    </row>
    <row r="49" spans="1:2" x14ac:dyDescent="0.25">
      <c r="A49" s="98" t="s">
        <v>44</v>
      </c>
      <c r="B49" s="99"/>
    </row>
    <row r="50" spans="1:2" x14ac:dyDescent="0.25">
      <c r="A50" s="98" t="s">
        <v>45</v>
      </c>
      <c r="B50" s="100">
        <f>0</f>
        <v>0</v>
      </c>
    </row>
    <row r="51" spans="1:2" x14ac:dyDescent="0.25">
      <c r="A51" s="98" t="s">
        <v>46</v>
      </c>
      <c r="B51" s="100">
        <f>24751.5</f>
        <v>24751.5</v>
      </c>
    </row>
    <row r="52" spans="1:2" x14ac:dyDescent="0.25">
      <c r="A52" s="98" t="s">
        <v>47</v>
      </c>
      <c r="B52" s="100">
        <f>2999047.98</f>
        <v>2999047.98</v>
      </c>
    </row>
    <row r="53" spans="1:2" x14ac:dyDescent="0.25">
      <c r="A53" s="98" t="s">
        <v>48</v>
      </c>
      <c r="B53" s="101">
        <f>((B50)+(B51))+(B52)</f>
        <v>3023799.48</v>
      </c>
    </row>
    <row r="54" spans="1:2" x14ac:dyDescent="0.25">
      <c r="A54" s="98" t="s">
        <v>49</v>
      </c>
      <c r="B54" s="101">
        <f>(B48)+(B53)</f>
        <v>3026358.44</v>
      </c>
    </row>
    <row r="55" spans="1:2" x14ac:dyDescent="0.25">
      <c r="A55" s="98" t="s">
        <v>50</v>
      </c>
      <c r="B55" s="101">
        <f>B54</f>
        <v>3026358.44</v>
      </c>
    </row>
    <row r="56" spans="1:2" x14ac:dyDescent="0.25">
      <c r="A56" s="98" t="s">
        <v>51</v>
      </c>
      <c r="B56" s="99"/>
    </row>
    <row r="57" spans="1:2" x14ac:dyDescent="0.25">
      <c r="A57" s="98" t="s">
        <v>52</v>
      </c>
      <c r="B57" s="100">
        <f>3957837.96</f>
        <v>3957837.96</v>
      </c>
    </row>
    <row r="58" spans="1:2" x14ac:dyDescent="0.25">
      <c r="A58" s="98" t="s">
        <v>53</v>
      </c>
      <c r="B58" s="100">
        <f>4037882.57</f>
        <v>4037882.57</v>
      </c>
    </row>
    <row r="59" spans="1:2" x14ac:dyDescent="0.25">
      <c r="A59" s="98" t="s">
        <v>54</v>
      </c>
      <c r="B59" s="100">
        <f>822279.07</f>
        <v>822279.07</v>
      </c>
    </row>
    <row r="60" spans="1:2" x14ac:dyDescent="0.25">
      <c r="A60" s="98" t="s">
        <v>55</v>
      </c>
      <c r="B60" s="100">
        <f>4129912.54</f>
        <v>4129912.54</v>
      </c>
    </row>
    <row r="61" spans="1:2" x14ac:dyDescent="0.25">
      <c r="A61" s="98" t="s">
        <v>56</v>
      </c>
      <c r="B61" s="100">
        <f>-468628.25</f>
        <v>-468628.25</v>
      </c>
    </row>
    <row r="62" spans="1:2" x14ac:dyDescent="0.25">
      <c r="A62" s="98" t="s">
        <v>57</v>
      </c>
      <c r="B62" s="101">
        <f>((((B57)+(B58))+(B59))+(B60))+(B61)</f>
        <v>12479283.890000001</v>
      </c>
    </row>
    <row r="63" spans="1:2" x14ac:dyDescent="0.25">
      <c r="A63" s="98" t="s">
        <v>58</v>
      </c>
      <c r="B63" s="101">
        <f>(B55)+(B62)</f>
        <v>15505642.33</v>
      </c>
    </row>
    <row r="64" spans="1:2" x14ac:dyDescent="0.25">
      <c r="A64" s="98"/>
      <c r="B64" s="99"/>
    </row>
    <row r="65" spans="1:2" x14ac:dyDescent="0.25">
      <c r="A65" s="120" t="s">
        <v>61</v>
      </c>
      <c r="B65" s="120"/>
    </row>
    <row r="66" spans="1:2" x14ac:dyDescent="0.25">
      <c r="A66" s="110"/>
      <c r="B66" s="110"/>
    </row>
    <row r="67" spans="1:2" x14ac:dyDescent="0.25">
      <c r="A67" s="116" t="s">
        <v>257</v>
      </c>
      <c r="B67" s="117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AA94"/>
  <sheetViews>
    <sheetView tabSelected="1" zoomScale="140" zoomScaleNormal="140" workbookViewId="0">
      <pane xSplit="1" ySplit="6" topLeftCell="B57" activePane="bottomRight" state="frozen"/>
      <selection pane="topRight" activeCell="B1" sqref="B1"/>
      <selection pane="bottomLeft" activeCell="A7" sqref="A7"/>
      <selection pane="bottomRight" activeCell="B59" sqref="B59"/>
    </sheetView>
  </sheetViews>
  <sheetFormatPr defaultRowHeight="15" x14ac:dyDescent="0.25"/>
  <cols>
    <col min="1" max="1" width="40.42578125" customWidth="1"/>
    <col min="2" max="5" width="16.28515625" customWidth="1"/>
    <col min="8" max="9" width="13.42578125" bestFit="1" customWidth="1"/>
    <col min="10" max="10" width="11.28515625" bestFit="1" customWidth="1"/>
    <col min="11" max="11" width="12.28515625" bestFit="1" customWidth="1"/>
    <col min="13" max="13" width="10.7109375" bestFit="1" customWidth="1"/>
    <col min="16" max="16" width="18" customWidth="1"/>
    <col min="17" max="17" width="13.85546875" bestFit="1" customWidth="1"/>
    <col min="19" max="19" width="15.85546875" customWidth="1"/>
    <col min="20" max="20" width="13.42578125" customWidth="1"/>
    <col min="21" max="21" width="12.140625" bestFit="1" customWidth="1"/>
    <col min="23" max="23" width="14.7109375" bestFit="1" customWidth="1"/>
    <col min="24" max="24" width="11" bestFit="1" customWidth="1"/>
    <col min="25" max="25" width="10.140625" bestFit="1" customWidth="1"/>
    <col min="26" max="27" width="11" bestFit="1" customWidth="1"/>
  </cols>
  <sheetData>
    <row r="1" spans="1:27" ht="18" x14ac:dyDescent="0.25">
      <c r="A1" s="118" t="s">
        <v>59</v>
      </c>
      <c r="B1" s="117"/>
      <c r="C1" s="117"/>
      <c r="D1" s="117"/>
      <c r="E1" s="117"/>
    </row>
    <row r="2" spans="1:27" ht="18" x14ac:dyDescent="0.25">
      <c r="A2" s="118" t="s">
        <v>131</v>
      </c>
      <c r="B2" s="117"/>
      <c r="C2" s="117"/>
      <c r="D2" s="117"/>
      <c r="E2" s="117"/>
    </row>
    <row r="3" spans="1:27" x14ac:dyDescent="0.25">
      <c r="A3" s="119" t="s">
        <v>258</v>
      </c>
      <c r="B3" s="117"/>
      <c r="C3" s="117"/>
      <c r="D3" s="117"/>
      <c r="E3" s="117"/>
    </row>
    <row r="5" spans="1:27" x14ac:dyDescent="0.25">
      <c r="A5" s="1"/>
      <c r="B5" s="122" t="s">
        <v>0</v>
      </c>
      <c r="C5" s="123"/>
      <c r="D5" s="123"/>
      <c r="E5" s="123"/>
      <c r="M5" t="s">
        <v>216</v>
      </c>
      <c r="Y5" t="s">
        <v>229</v>
      </c>
      <c r="AA5" t="s">
        <v>230</v>
      </c>
    </row>
    <row r="6" spans="1:27" x14ac:dyDescent="0.25">
      <c r="A6" s="1"/>
      <c r="B6" s="9" t="s">
        <v>130</v>
      </c>
      <c r="C6" s="9" t="s">
        <v>129</v>
      </c>
      <c r="D6" s="9" t="s">
        <v>128</v>
      </c>
      <c r="E6" s="9" t="s">
        <v>127</v>
      </c>
      <c r="H6" s="86" t="s">
        <v>130</v>
      </c>
      <c r="I6" s="86" t="s">
        <v>129</v>
      </c>
      <c r="J6" s="86" t="s">
        <v>128</v>
      </c>
      <c r="M6" s="104" t="s">
        <v>129</v>
      </c>
      <c r="P6" t="s">
        <v>217</v>
      </c>
      <c r="S6" t="s">
        <v>220</v>
      </c>
      <c r="X6" t="s">
        <v>225</v>
      </c>
      <c r="Y6" t="s">
        <v>226</v>
      </c>
      <c r="Z6" t="s">
        <v>227</v>
      </c>
      <c r="AA6">
        <v>48</v>
      </c>
    </row>
    <row r="7" spans="1:27" x14ac:dyDescent="0.25">
      <c r="A7" s="4" t="s">
        <v>126</v>
      </c>
      <c r="B7" s="3"/>
      <c r="C7" s="3"/>
      <c r="D7" s="3"/>
      <c r="E7" s="3"/>
      <c r="P7" s="92">
        <v>15400000</v>
      </c>
      <c r="Q7" t="s">
        <v>218</v>
      </c>
      <c r="T7" s="92">
        <v>50000</v>
      </c>
      <c r="U7" s="92">
        <v>150000</v>
      </c>
      <c r="W7" t="s">
        <v>223</v>
      </c>
      <c r="X7" s="92">
        <v>41.5</v>
      </c>
      <c r="Y7" s="92">
        <v>15</v>
      </c>
      <c r="Z7" s="92">
        <f>+X7*Y7</f>
        <v>622.5</v>
      </c>
      <c r="AA7" s="92">
        <f>+Z7*$AA$6</f>
        <v>29880</v>
      </c>
    </row>
    <row r="8" spans="1:27" x14ac:dyDescent="0.25">
      <c r="A8" s="4" t="s">
        <v>125</v>
      </c>
      <c r="B8" s="3"/>
      <c r="C8" s="3"/>
      <c r="D8" s="8">
        <f t="shared" ref="D8:D16" si="0">(B8)-(C8)</f>
        <v>0</v>
      </c>
      <c r="E8" s="7" t="str">
        <f t="shared" ref="E8:E16" si="1">IF(C8=0,"",(B8)/(C8))</f>
        <v/>
      </c>
      <c r="P8" s="92">
        <v>15000000</v>
      </c>
      <c r="Q8" s="92">
        <f>+P8*0.01</f>
        <v>150000</v>
      </c>
      <c r="S8" t="s">
        <v>221</v>
      </c>
      <c r="T8" s="92">
        <f>+AA10</f>
        <v>61680</v>
      </c>
      <c r="W8" t="s">
        <v>224</v>
      </c>
      <c r="X8" s="92">
        <v>27</v>
      </c>
      <c r="Y8" s="92">
        <v>15</v>
      </c>
      <c r="Z8" s="92">
        <f>+X8*Y8</f>
        <v>405</v>
      </c>
      <c r="AA8" s="92">
        <f>+Z8*$AA$6</f>
        <v>19440</v>
      </c>
    </row>
    <row r="9" spans="1:27" x14ac:dyDescent="0.25">
      <c r="A9" s="4" t="s">
        <v>124</v>
      </c>
      <c r="B9" s="8">
        <f>30104.37</f>
        <v>30104.37</v>
      </c>
      <c r="C9" s="8">
        <f>30500</f>
        <v>30500</v>
      </c>
      <c r="D9" s="8">
        <f t="shared" si="0"/>
        <v>-395.63000000000102</v>
      </c>
      <c r="E9" s="7">
        <f t="shared" si="1"/>
        <v>0.98702852459016388</v>
      </c>
      <c r="M9" s="105">
        <f>30000</f>
        <v>30000</v>
      </c>
      <c r="P9" s="106" t="s">
        <v>219</v>
      </c>
      <c r="Q9" s="92">
        <v>155000</v>
      </c>
      <c r="S9" t="s">
        <v>241</v>
      </c>
      <c r="T9" s="92">
        <f>+T8*0.1</f>
        <v>6168</v>
      </c>
      <c r="W9" t="s">
        <v>228</v>
      </c>
      <c r="X9" s="92">
        <v>51.5</v>
      </c>
      <c r="Y9" s="92">
        <v>5</v>
      </c>
      <c r="Z9" s="92">
        <f>+X9*Y9</f>
        <v>257.5</v>
      </c>
      <c r="AA9" s="92">
        <f>+Z9*$AA$6</f>
        <v>12360</v>
      </c>
    </row>
    <row r="10" spans="1:27" x14ac:dyDescent="0.25">
      <c r="A10" s="4" t="s">
        <v>123</v>
      </c>
      <c r="B10" s="8">
        <f>250</f>
        <v>250</v>
      </c>
      <c r="C10" s="3"/>
      <c r="D10" s="8">
        <f t="shared" si="0"/>
        <v>250</v>
      </c>
      <c r="E10" s="7" t="str">
        <f t="shared" si="1"/>
        <v/>
      </c>
      <c r="M10" s="3"/>
      <c r="S10" t="s">
        <v>244</v>
      </c>
      <c r="T10" s="92">
        <f>+X19</f>
        <v>7500</v>
      </c>
      <c r="Y10" s="92"/>
      <c r="Z10" s="92"/>
      <c r="AA10" s="92">
        <f>SUM(AA7:AA9)</f>
        <v>61680</v>
      </c>
    </row>
    <row r="11" spans="1:27" x14ac:dyDescent="0.25">
      <c r="A11" s="4" t="s">
        <v>122</v>
      </c>
      <c r="B11" s="8">
        <f>113130.23</f>
        <v>113130.23</v>
      </c>
      <c r="C11" s="8">
        <f>112500</f>
        <v>112500</v>
      </c>
      <c r="D11" s="8">
        <f t="shared" si="0"/>
        <v>630.22999999999593</v>
      </c>
      <c r="E11" s="7">
        <f t="shared" si="1"/>
        <v>1.0056020444444445</v>
      </c>
      <c r="M11" s="105">
        <v>155000</v>
      </c>
      <c r="S11" t="s">
        <v>222</v>
      </c>
      <c r="T11" s="92">
        <f>+X21</f>
        <v>10000</v>
      </c>
      <c r="X11" t="s">
        <v>233</v>
      </c>
    </row>
    <row r="12" spans="1:27" x14ac:dyDescent="0.25">
      <c r="A12" s="4" t="s">
        <v>121</v>
      </c>
      <c r="B12" s="6">
        <f>(B10)+(B11)</f>
        <v>113380.23</v>
      </c>
      <c r="C12" s="6">
        <f>(C10)+(C11)</f>
        <v>112500</v>
      </c>
      <c r="D12" s="6">
        <f t="shared" si="0"/>
        <v>880.22999999999593</v>
      </c>
      <c r="E12" s="5">
        <f t="shared" si="1"/>
        <v>1.0078242666666666</v>
      </c>
      <c r="M12" s="6">
        <f>(M10)+(M11)</f>
        <v>155000</v>
      </c>
      <c r="S12" t="s">
        <v>231</v>
      </c>
      <c r="T12" s="92">
        <f>+Y12</f>
        <v>5000</v>
      </c>
      <c r="W12" t="s">
        <v>232</v>
      </c>
      <c r="X12" s="92">
        <v>100</v>
      </c>
      <c r="Y12" s="92">
        <v>5000</v>
      </c>
    </row>
    <row r="13" spans="1:27" x14ac:dyDescent="0.25">
      <c r="A13" s="4" t="s">
        <v>120</v>
      </c>
      <c r="B13" s="6">
        <f>((B8)+(B9))+(B12)</f>
        <v>143484.6</v>
      </c>
      <c r="C13" s="6">
        <f>((C8)+(C9))+(C12)</f>
        <v>143000</v>
      </c>
      <c r="D13" s="6">
        <f t="shared" si="0"/>
        <v>484.60000000000582</v>
      </c>
      <c r="E13" s="5">
        <f t="shared" si="1"/>
        <v>1.0033888111888112</v>
      </c>
      <c r="M13" s="6">
        <f>((M8)+(M9))+(M12)</f>
        <v>185000</v>
      </c>
      <c r="S13" t="s">
        <v>235</v>
      </c>
      <c r="T13" s="92">
        <f>+Z14</f>
        <v>20000</v>
      </c>
    </row>
    <row r="14" spans="1:27" x14ac:dyDescent="0.25">
      <c r="A14" s="4" t="s">
        <v>119</v>
      </c>
      <c r="B14" s="8">
        <f>28.54</f>
        <v>28.54</v>
      </c>
      <c r="C14" s="3"/>
      <c r="D14" s="8">
        <f t="shared" si="0"/>
        <v>28.54</v>
      </c>
      <c r="E14" s="7" t="str">
        <f t="shared" si="1"/>
        <v/>
      </c>
      <c r="M14" s="3"/>
      <c r="S14" t="s">
        <v>239</v>
      </c>
      <c r="T14" s="92">
        <f>+Z17</f>
        <v>1800</v>
      </c>
      <c r="W14" t="s">
        <v>234</v>
      </c>
      <c r="X14" s="92">
        <v>2000</v>
      </c>
      <c r="Y14" s="92">
        <v>10</v>
      </c>
      <c r="Z14" s="92">
        <f>+X14*Y14</f>
        <v>20000</v>
      </c>
    </row>
    <row r="15" spans="1:27" x14ac:dyDescent="0.25">
      <c r="A15" s="4" t="s">
        <v>118</v>
      </c>
      <c r="B15" s="6">
        <f>(B13)+(B14)</f>
        <v>143513.14000000001</v>
      </c>
      <c r="C15" s="6">
        <f>(C13)+(C14)</f>
        <v>143000</v>
      </c>
      <c r="D15" s="6">
        <f t="shared" si="0"/>
        <v>513.14000000001397</v>
      </c>
      <c r="E15" s="5">
        <f t="shared" si="1"/>
        <v>1.0035883916083916</v>
      </c>
      <c r="M15" s="6">
        <f>(M13)+(M14)</f>
        <v>185000</v>
      </c>
      <c r="S15" t="s">
        <v>242</v>
      </c>
      <c r="T15" s="92"/>
      <c r="X15" t="s">
        <v>233</v>
      </c>
    </row>
    <row r="16" spans="1:27" x14ac:dyDescent="0.25">
      <c r="A16" s="4" t="s">
        <v>117</v>
      </c>
      <c r="B16" s="6">
        <f>(B15)-(0)</f>
        <v>143513.14000000001</v>
      </c>
      <c r="C16" s="6">
        <f>(C15)-(0)</f>
        <v>143000</v>
      </c>
      <c r="D16" s="6">
        <f t="shared" si="0"/>
        <v>513.14000000001397</v>
      </c>
      <c r="E16" s="5">
        <f t="shared" si="1"/>
        <v>1.0035883916083916</v>
      </c>
      <c r="H16" s="81">
        <f>+B16</f>
        <v>143513.14000000001</v>
      </c>
      <c r="I16" s="81">
        <f>+C16</f>
        <v>143000</v>
      </c>
      <c r="J16" s="82">
        <f>+H16-I16</f>
        <v>513.14000000001397</v>
      </c>
      <c r="M16" s="6">
        <f>(M15)-(0)</f>
        <v>185000</v>
      </c>
      <c r="S16" t="s">
        <v>243</v>
      </c>
      <c r="T16" s="92">
        <f>+X29</f>
        <v>11800</v>
      </c>
      <c r="W16" t="s">
        <v>236</v>
      </c>
      <c r="X16">
        <v>2200</v>
      </c>
    </row>
    <row r="17" spans="1:26" x14ac:dyDescent="0.25">
      <c r="A17" s="4" t="s">
        <v>116</v>
      </c>
      <c r="B17" s="3"/>
      <c r="C17" s="3"/>
      <c r="D17" s="3"/>
      <c r="E17" s="3"/>
      <c r="M17" s="3"/>
      <c r="S17" t="s">
        <v>245</v>
      </c>
      <c r="W17" t="s">
        <v>237</v>
      </c>
      <c r="X17" t="s">
        <v>238</v>
      </c>
      <c r="Y17" t="s">
        <v>240</v>
      </c>
      <c r="Z17">
        <v>1800</v>
      </c>
    </row>
    <row r="18" spans="1:26" x14ac:dyDescent="0.25">
      <c r="A18" s="4" t="s">
        <v>115</v>
      </c>
      <c r="B18" s="8">
        <f>1040.87</f>
        <v>1040.8699999999999</v>
      </c>
      <c r="C18" s="8">
        <f>1874.97</f>
        <v>1874.97</v>
      </c>
      <c r="D18" s="8">
        <f t="shared" ref="D18:D59" si="2">(B18)-(C18)</f>
        <v>-834.10000000000014</v>
      </c>
      <c r="E18" s="7">
        <f t="shared" ref="E18:E59" si="3">IF(C18=0,"",(B18)/(C18))</f>
        <v>0.55513954889944894</v>
      </c>
      <c r="M18" s="8">
        <f>1666.64</f>
        <v>1666.64</v>
      </c>
      <c r="S18" t="s">
        <v>156</v>
      </c>
    </row>
    <row r="19" spans="1:26" x14ac:dyDescent="0.25">
      <c r="A19" s="4" t="s">
        <v>114</v>
      </c>
      <c r="B19" s="8">
        <f>290.94</f>
        <v>290.94</v>
      </c>
      <c r="C19" s="8">
        <f>74.97</f>
        <v>74.97</v>
      </c>
      <c r="D19" s="8">
        <f t="shared" si="2"/>
        <v>215.97</v>
      </c>
      <c r="E19" s="7">
        <f t="shared" si="3"/>
        <v>3.8807523009203684</v>
      </c>
      <c r="M19" s="8">
        <f>66.64</f>
        <v>66.64</v>
      </c>
      <c r="S19" t="s">
        <v>246</v>
      </c>
      <c r="T19" s="107">
        <f>+X19</f>
        <v>7500</v>
      </c>
      <c r="W19" t="s">
        <v>246</v>
      </c>
      <c r="X19" s="92">
        <v>7500</v>
      </c>
    </row>
    <row r="20" spans="1:26" x14ac:dyDescent="0.25">
      <c r="A20" s="4" t="s">
        <v>113</v>
      </c>
      <c r="B20" s="8">
        <f>1300</f>
        <v>1300</v>
      </c>
      <c r="C20" s="8">
        <f>900</f>
        <v>900</v>
      </c>
      <c r="D20" s="8">
        <f t="shared" si="2"/>
        <v>400</v>
      </c>
      <c r="E20" s="7">
        <f t="shared" si="3"/>
        <v>1.4444444444444444</v>
      </c>
      <c r="M20" s="8">
        <f>800</f>
        <v>800</v>
      </c>
    </row>
    <row r="21" spans="1:26" x14ac:dyDescent="0.25">
      <c r="A21" s="4" t="s">
        <v>112</v>
      </c>
      <c r="B21" s="3"/>
      <c r="C21" s="8">
        <f>1125</f>
        <v>1125</v>
      </c>
      <c r="D21" s="8">
        <f t="shared" si="2"/>
        <v>-1125</v>
      </c>
      <c r="E21" s="7">
        <f t="shared" si="3"/>
        <v>0</v>
      </c>
      <c r="M21" s="8">
        <f>1000</f>
        <v>1000</v>
      </c>
      <c r="W21" t="s">
        <v>222</v>
      </c>
      <c r="X21" s="92">
        <v>10000</v>
      </c>
    </row>
    <row r="22" spans="1:26" x14ac:dyDescent="0.25">
      <c r="A22" s="4" t="s">
        <v>111</v>
      </c>
      <c r="B22" s="8">
        <f>267.81</f>
        <v>267.81</v>
      </c>
      <c r="C22" s="8">
        <f>794</f>
        <v>794</v>
      </c>
      <c r="D22" s="8">
        <f t="shared" si="2"/>
        <v>-526.19000000000005</v>
      </c>
      <c r="E22" s="7">
        <f t="shared" si="3"/>
        <v>0.33729219143576827</v>
      </c>
      <c r="M22" s="8">
        <f>794</f>
        <v>794</v>
      </c>
      <c r="T22" s="107">
        <f>SUM(T8:T21)</f>
        <v>131448</v>
      </c>
      <c r="U22" s="107">
        <f>+T22/U7</f>
        <v>0.87631999999999999</v>
      </c>
      <c r="W22" t="s">
        <v>247</v>
      </c>
    </row>
    <row r="23" spans="1:26" x14ac:dyDescent="0.25">
      <c r="A23" s="4" t="s">
        <v>110</v>
      </c>
      <c r="B23" s="8">
        <f>331.62</f>
        <v>331.62</v>
      </c>
      <c r="C23" s="8">
        <f>749.97</f>
        <v>749.97</v>
      </c>
      <c r="D23" s="8">
        <f t="shared" si="2"/>
        <v>-418.35</v>
      </c>
      <c r="E23" s="7">
        <f t="shared" si="3"/>
        <v>0.44217768710748429</v>
      </c>
      <c r="M23" s="8">
        <f>666.64</f>
        <v>666.64</v>
      </c>
      <c r="W23" t="s">
        <v>248</v>
      </c>
    </row>
    <row r="24" spans="1:26" x14ac:dyDescent="0.25">
      <c r="A24" s="4" t="s">
        <v>109</v>
      </c>
      <c r="B24" s="8">
        <f>27000</f>
        <v>27000</v>
      </c>
      <c r="C24" s="8">
        <f>22125</f>
        <v>22125</v>
      </c>
      <c r="D24" s="8">
        <f t="shared" si="2"/>
        <v>4875</v>
      </c>
      <c r="E24" s="7">
        <f t="shared" si="3"/>
        <v>1.2203389830508475</v>
      </c>
      <c r="M24" s="8">
        <f>22125</f>
        <v>22125</v>
      </c>
    </row>
    <row r="25" spans="1:26" x14ac:dyDescent="0.25">
      <c r="A25" s="4" t="s">
        <v>108</v>
      </c>
      <c r="B25" s="8">
        <f>1.25</f>
        <v>1.25</v>
      </c>
      <c r="C25" s="8">
        <f>74.97</f>
        <v>74.97</v>
      </c>
      <c r="D25" s="8">
        <f t="shared" si="2"/>
        <v>-73.72</v>
      </c>
      <c r="E25" s="7">
        <f t="shared" si="3"/>
        <v>1.6673336001067095E-2</v>
      </c>
      <c r="M25" s="8">
        <f>66.64</f>
        <v>66.64</v>
      </c>
      <c r="W25" t="s">
        <v>251</v>
      </c>
    </row>
    <row r="26" spans="1:26" x14ac:dyDescent="0.25">
      <c r="A26" s="4" t="s">
        <v>214</v>
      </c>
      <c r="B26" s="8">
        <f>0</f>
        <v>0</v>
      </c>
      <c r="C26" s="3"/>
      <c r="D26" s="8">
        <f t="shared" si="2"/>
        <v>0</v>
      </c>
      <c r="E26" s="7" t="str">
        <f t="shared" si="3"/>
        <v/>
      </c>
      <c r="M26" s="3"/>
      <c r="W26" t="s">
        <v>231</v>
      </c>
    </row>
    <row r="27" spans="1:26" x14ac:dyDescent="0.25">
      <c r="A27" s="4" t="s">
        <v>107</v>
      </c>
      <c r="B27" s="8">
        <f>900</f>
        <v>900</v>
      </c>
      <c r="C27" s="8">
        <f>1500.03</f>
        <v>1500.03</v>
      </c>
      <c r="D27" s="8">
        <f t="shared" si="2"/>
        <v>-600.03</v>
      </c>
      <c r="E27" s="7">
        <f t="shared" si="3"/>
        <v>0.59998800023999521</v>
      </c>
      <c r="H27" s="83">
        <f>SUM(B18:B29)</f>
        <v>31187.989999999998</v>
      </c>
      <c r="I27" s="83">
        <f>SUM(C18:C29)</f>
        <v>29593.94</v>
      </c>
      <c r="J27" s="80">
        <f>+I27-H27</f>
        <v>-1594.0499999999993</v>
      </c>
      <c r="K27" s="82">
        <f>+J27+J40+J44+J52+J57</f>
        <v>1270.1899999999996</v>
      </c>
      <c r="M27" s="8">
        <f>1333.36</f>
        <v>1333.36</v>
      </c>
      <c r="W27" t="s">
        <v>249</v>
      </c>
      <c r="X27" s="107">
        <v>10000</v>
      </c>
    </row>
    <row r="28" spans="1:26" x14ac:dyDescent="0.25">
      <c r="A28" s="4" t="s">
        <v>195</v>
      </c>
      <c r="B28" s="8">
        <f>55.5</f>
        <v>55.5</v>
      </c>
      <c r="C28" s="3"/>
      <c r="D28" s="8">
        <f t="shared" si="2"/>
        <v>55.5</v>
      </c>
      <c r="E28" s="7" t="str">
        <f t="shared" si="3"/>
        <v/>
      </c>
      <c r="M28" s="3"/>
      <c r="W28" t="s">
        <v>250</v>
      </c>
      <c r="X28" s="107">
        <f>150*12</f>
        <v>1800</v>
      </c>
    </row>
    <row r="29" spans="1:26" x14ac:dyDescent="0.25">
      <c r="A29" s="4" t="s">
        <v>106</v>
      </c>
      <c r="B29" s="3"/>
      <c r="C29" s="8">
        <f>375.03</f>
        <v>375.03</v>
      </c>
      <c r="D29" s="8">
        <f t="shared" si="2"/>
        <v>-375.03</v>
      </c>
      <c r="E29" s="7">
        <f t="shared" si="3"/>
        <v>0</v>
      </c>
      <c r="M29" s="8">
        <f>333.36</f>
        <v>333.36</v>
      </c>
      <c r="X29" s="107">
        <f t="shared" ref="X29" si="4">SUM(X23:X28)</f>
        <v>11800</v>
      </c>
    </row>
    <row r="30" spans="1:26" x14ac:dyDescent="0.25">
      <c r="A30" s="4" t="s">
        <v>105</v>
      </c>
      <c r="B30" s="3"/>
      <c r="C30" s="3"/>
      <c r="D30" s="8">
        <f t="shared" si="2"/>
        <v>0</v>
      </c>
      <c r="E30" s="7" t="str">
        <f t="shared" si="3"/>
        <v/>
      </c>
      <c r="M30" s="3"/>
    </row>
    <row r="31" spans="1:26" x14ac:dyDescent="0.25">
      <c r="A31" s="4" t="s">
        <v>104</v>
      </c>
      <c r="B31" s="8">
        <f>3186.5</f>
        <v>3186.5</v>
      </c>
      <c r="C31" s="8">
        <f>3750.03</f>
        <v>3750.03</v>
      </c>
      <c r="D31" s="8">
        <f t="shared" si="2"/>
        <v>-563.5300000000002</v>
      </c>
      <c r="E31" s="7">
        <f t="shared" si="3"/>
        <v>0.84972653552104915</v>
      </c>
      <c r="M31" s="8">
        <f>3333.36</f>
        <v>3333.36</v>
      </c>
      <c r="W31" t="s">
        <v>245</v>
      </c>
      <c r="X31">
        <v>0.58499999999999996</v>
      </c>
      <c r="Z31" t="s">
        <v>255</v>
      </c>
    </row>
    <row r="32" spans="1:26" ht="15.75" thickBot="1" x14ac:dyDescent="0.3">
      <c r="A32" s="4" t="s">
        <v>103</v>
      </c>
      <c r="B32" s="8">
        <f>89607.9</f>
        <v>89607.9</v>
      </c>
      <c r="C32" s="8">
        <f>87750</f>
        <v>87750</v>
      </c>
      <c r="D32" s="8">
        <f t="shared" si="2"/>
        <v>1857.8999999999942</v>
      </c>
      <c r="E32" s="7">
        <f t="shared" si="3"/>
        <v>1.0211726495726494</v>
      </c>
      <c r="H32" s="83">
        <f>+B35</f>
        <v>102490.71999999999</v>
      </c>
      <c r="I32" s="83">
        <f>+C35</f>
        <v>101250</v>
      </c>
      <c r="J32" s="80">
        <f>+I32-H32</f>
        <v>-1240.7199999999866</v>
      </c>
      <c r="K32" t="s">
        <v>213</v>
      </c>
      <c r="M32" s="8">
        <f>78000</f>
        <v>78000</v>
      </c>
      <c r="X32">
        <v>40</v>
      </c>
      <c r="Y32" t="s">
        <v>252</v>
      </c>
    </row>
    <row r="33" spans="1:25" ht="15.75" thickBot="1" x14ac:dyDescent="0.3">
      <c r="A33" s="4" t="s">
        <v>102</v>
      </c>
      <c r="B33" s="8">
        <f>977.31</f>
        <v>977.31</v>
      </c>
      <c r="C33" s="8">
        <f>974.97</f>
        <v>974.97</v>
      </c>
      <c r="D33" s="8">
        <f t="shared" si="2"/>
        <v>2.3399999999999181</v>
      </c>
      <c r="E33" s="7">
        <f t="shared" si="3"/>
        <v>1.002400073848426</v>
      </c>
      <c r="M33" s="8">
        <f>866.64</f>
        <v>866.64</v>
      </c>
      <c r="X33" s="108">
        <f>+X32*X31</f>
        <v>23.4</v>
      </c>
    </row>
    <row r="34" spans="1:25" ht="15.75" thickBot="1" x14ac:dyDescent="0.3">
      <c r="A34" s="4" t="s">
        <v>101</v>
      </c>
      <c r="B34" s="8">
        <f>8719.01</f>
        <v>8719.01</v>
      </c>
      <c r="C34" s="8">
        <f>8775</f>
        <v>8775</v>
      </c>
      <c r="D34" s="8">
        <f t="shared" si="2"/>
        <v>-55.989999999999782</v>
      </c>
      <c r="E34" s="7">
        <f t="shared" si="3"/>
        <v>0.99361937321937321</v>
      </c>
      <c r="M34" s="8">
        <f>7800</f>
        <v>7800</v>
      </c>
      <c r="X34">
        <v>40</v>
      </c>
      <c r="Y34" t="s">
        <v>253</v>
      </c>
    </row>
    <row r="35" spans="1:25" ht="15.75" thickBot="1" x14ac:dyDescent="0.3">
      <c r="A35" s="4" t="s">
        <v>100</v>
      </c>
      <c r="B35" s="6">
        <f>((((B30)+(B31))+(B32))+(B33))+(B34)</f>
        <v>102490.71999999999</v>
      </c>
      <c r="C35" s="6">
        <f>((((C30)+(C31))+(C32))+(C33))+(C34)</f>
        <v>101250</v>
      </c>
      <c r="D35" s="6">
        <f t="shared" si="2"/>
        <v>1240.7199999999866</v>
      </c>
      <c r="E35" s="5">
        <f t="shared" si="3"/>
        <v>1.0122540246913578</v>
      </c>
      <c r="M35" s="6">
        <f>((((M30)+(M31))+(M32))+(M33))+(M34)</f>
        <v>90000</v>
      </c>
      <c r="X35" s="108">
        <f>+X34*X31</f>
        <v>23.4</v>
      </c>
    </row>
    <row r="36" spans="1:25" ht="15.75" thickBot="1" x14ac:dyDescent="0.3">
      <c r="A36" s="4" t="s">
        <v>99</v>
      </c>
      <c r="B36" s="3"/>
      <c r="C36" s="3"/>
      <c r="D36" s="8">
        <f t="shared" si="2"/>
        <v>0</v>
      </c>
      <c r="E36" s="7" t="str">
        <f t="shared" si="3"/>
        <v/>
      </c>
      <c r="M36" s="3"/>
      <c r="X36" s="109">
        <v>40</v>
      </c>
      <c r="Y36" t="s">
        <v>254</v>
      </c>
    </row>
    <row r="37" spans="1:25" ht="15.75" thickBot="1" x14ac:dyDescent="0.3">
      <c r="A37" s="4" t="s">
        <v>98</v>
      </c>
      <c r="B37" s="8">
        <f>19800</f>
        <v>19800</v>
      </c>
      <c r="C37" s="8">
        <f>19800</f>
        <v>19800</v>
      </c>
      <c r="D37" s="8">
        <f t="shared" si="2"/>
        <v>0</v>
      </c>
      <c r="E37" s="7">
        <f t="shared" si="3"/>
        <v>1</v>
      </c>
      <c r="M37" s="8">
        <f>17600</f>
        <v>17600</v>
      </c>
      <c r="X37" s="108">
        <f>+X36*X31</f>
        <v>23.4</v>
      </c>
    </row>
    <row r="38" spans="1:25" x14ac:dyDescent="0.25">
      <c r="A38" s="4" t="s">
        <v>97</v>
      </c>
      <c r="B38" s="8">
        <f>9250</f>
        <v>9250</v>
      </c>
      <c r="C38" s="8">
        <f>9000</f>
        <v>9000</v>
      </c>
      <c r="D38" s="8">
        <f t="shared" si="2"/>
        <v>250</v>
      </c>
      <c r="E38" s="7">
        <f t="shared" si="3"/>
        <v>1.0277777777777777</v>
      </c>
      <c r="M38" s="8">
        <f>9000</f>
        <v>9000</v>
      </c>
    </row>
    <row r="39" spans="1:25" x14ac:dyDescent="0.25">
      <c r="A39" s="4" t="s">
        <v>96</v>
      </c>
      <c r="B39" s="8">
        <f>488.75</f>
        <v>488.75</v>
      </c>
      <c r="C39" s="8">
        <f>3750.03</f>
        <v>3750.03</v>
      </c>
      <c r="D39" s="8">
        <f t="shared" si="2"/>
        <v>-3261.28</v>
      </c>
      <c r="E39" s="7">
        <f t="shared" si="3"/>
        <v>0.13033229067500793</v>
      </c>
      <c r="M39" s="8">
        <f>3333.36</f>
        <v>3333.36</v>
      </c>
    </row>
    <row r="40" spans="1:25" x14ac:dyDescent="0.25">
      <c r="A40" s="4" t="s">
        <v>95</v>
      </c>
      <c r="B40" s="6">
        <f>(((B36)+(B37))+(B38))+(B39)</f>
        <v>29538.75</v>
      </c>
      <c r="C40" s="6">
        <f>(((C36)+(C37))+(C38))+(C39)</f>
        <v>32550.03</v>
      </c>
      <c r="D40" s="6">
        <f t="shared" si="2"/>
        <v>-3011.2799999999988</v>
      </c>
      <c r="E40" s="5">
        <f t="shared" si="3"/>
        <v>0.9074876428685319</v>
      </c>
      <c r="H40" s="81">
        <f>+B40</f>
        <v>29538.75</v>
      </c>
      <c r="I40" s="81">
        <f>+C40</f>
        <v>32550.03</v>
      </c>
      <c r="J40" s="82">
        <f>+I40-H40</f>
        <v>3011.2799999999988</v>
      </c>
      <c r="M40" s="6">
        <f>(((M36)+(M37))+(M38))+(M39)</f>
        <v>29933.360000000001</v>
      </c>
    </row>
    <row r="41" spans="1:25" x14ac:dyDescent="0.25">
      <c r="A41" s="4" t="s">
        <v>94</v>
      </c>
      <c r="B41" s="3"/>
      <c r="C41" s="3"/>
      <c r="D41" s="8">
        <f t="shared" si="2"/>
        <v>0</v>
      </c>
      <c r="E41" s="7" t="str">
        <f t="shared" si="3"/>
        <v/>
      </c>
      <c r="M41" s="3"/>
    </row>
    <row r="42" spans="1:25" x14ac:dyDescent="0.25">
      <c r="A42" s="4" t="s">
        <v>93</v>
      </c>
      <c r="B42" s="8">
        <f>0</f>
        <v>0</v>
      </c>
      <c r="C42" s="3"/>
      <c r="D42" s="8">
        <f t="shared" si="2"/>
        <v>0</v>
      </c>
      <c r="E42" s="7" t="str">
        <f t="shared" si="3"/>
        <v/>
      </c>
      <c r="M42" s="3"/>
    </row>
    <row r="43" spans="1:25" x14ac:dyDescent="0.25">
      <c r="A43" s="4" t="s">
        <v>92</v>
      </c>
      <c r="B43" s="8">
        <f>7349.06</f>
        <v>7349.06</v>
      </c>
      <c r="C43" s="8">
        <f>6500</f>
        <v>6500</v>
      </c>
      <c r="D43" s="8">
        <f t="shared" si="2"/>
        <v>849.0600000000004</v>
      </c>
      <c r="E43" s="7">
        <f t="shared" si="3"/>
        <v>1.1306246153846153</v>
      </c>
      <c r="M43" s="8">
        <f>6500</f>
        <v>6500</v>
      </c>
    </row>
    <row r="44" spans="1:25" x14ac:dyDescent="0.25">
      <c r="A44" s="4" t="s">
        <v>91</v>
      </c>
      <c r="B44" s="6">
        <f>((B41)+(B42))+(B43)</f>
        <v>7349.06</v>
      </c>
      <c r="C44" s="6">
        <f>((C41)+(C42))+(C43)</f>
        <v>6500</v>
      </c>
      <c r="D44" s="6">
        <f t="shared" si="2"/>
        <v>849.0600000000004</v>
      </c>
      <c r="E44" s="5">
        <f t="shared" si="3"/>
        <v>1.1306246153846153</v>
      </c>
      <c r="H44" s="81">
        <f>+B44</f>
        <v>7349.06</v>
      </c>
      <c r="I44" s="81">
        <f>+C44</f>
        <v>6500</v>
      </c>
      <c r="J44" s="82">
        <f>+I44-H44</f>
        <v>-849.0600000000004</v>
      </c>
      <c r="M44" s="6">
        <f>((M41)+(M42))+(M43)</f>
        <v>6500</v>
      </c>
    </row>
    <row r="45" spans="1:25" x14ac:dyDescent="0.25">
      <c r="A45" s="4" t="s">
        <v>90</v>
      </c>
      <c r="B45" s="3"/>
      <c r="C45" s="3"/>
      <c r="D45" s="8">
        <f t="shared" si="2"/>
        <v>0</v>
      </c>
      <c r="E45" s="7" t="str">
        <f t="shared" si="3"/>
        <v/>
      </c>
      <c r="M45" s="3"/>
    </row>
    <row r="46" spans="1:25" x14ac:dyDescent="0.25">
      <c r="A46" s="4" t="s">
        <v>89</v>
      </c>
      <c r="B46" s="8">
        <f>1758</f>
        <v>1758</v>
      </c>
      <c r="C46" s="8">
        <f>1450</f>
        <v>1450</v>
      </c>
      <c r="D46" s="8">
        <f t="shared" si="2"/>
        <v>308</v>
      </c>
      <c r="E46" s="7">
        <f t="shared" si="3"/>
        <v>1.2124137931034482</v>
      </c>
      <c r="M46" s="8">
        <f>1450</f>
        <v>1450</v>
      </c>
    </row>
    <row r="47" spans="1:25" x14ac:dyDescent="0.25">
      <c r="A47" s="4" t="s">
        <v>88</v>
      </c>
      <c r="B47" s="8">
        <f>580.88</f>
        <v>580.88</v>
      </c>
      <c r="C47" s="8">
        <f>900</f>
        <v>900</v>
      </c>
      <c r="D47" s="8">
        <f t="shared" si="2"/>
        <v>-319.12</v>
      </c>
      <c r="E47" s="7">
        <f t="shared" si="3"/>
        <v>0.64542222222222223</v>
      </c>
      <c r="M47" s="8">
        <f>800</f>
        <v>800</v>
      </c>
    </row>
    <row r="48" spans="1:25" x14ac:dyDescent="0.25">
      <c r="A48" s="4" t="s">
        <v>87</v>
      </c>
      <c r="B48" s="8">
        <f>431.12</f>
        <v>431.12</v>
      </c>
      <c r="C48" s="8">
        <f>2250</f>
        <v>2250</v>
      </c>
      <c r="D48" s="8">
        <f t="shared" si="2"/>
        <v>-1818.88</v>
      </c>
      <c r="E48" s="7">
        <f t="shared" si="3"/>
        <v>0.19160888888888888</v>
      </c>
      <c r="M48" s="8">
        <f>2000</f>
        <v>2000</v>
      </c>
    </row>
    <row r="49" spans="1:13" x14ac:dyDescent="0.25">
      <c r="A49" s="4" t="s">
        <v>86</v>
      </c>
      <c r="B49" s="8">
        <f>1350.93</f>
        <v>1350.93</v>
      </c>
      <c r="C49" s="8">
        <f>1874.97</f>
        <v>1874.97</v>
      </c>
      <c r="D49" s="8">
        <f t="shared" si="2"/>
        <v>-524.04</v>
      </c>
      <c r="E49" s="7">
        <f t="shared" si="3"/>
        <v>0.72050752812044994</v>
      </c>
      <c r="M49" s="8">
        <f>1666.64</f>
        <v>1666.64</v>
      </c>
    </row>
    <row r="50" spans="1:13" x14ac:dyDescent="0.25">
      <c r="A50" s="4" t="s">
        <v>85</v>
      </c>
      <c r="B50" s="8">
        <f>140</f>
        <v>140</v>
      </c>
      <c r="C50" s="8">
        <f>150</f>
        <v>150</v>
      </c>
      <c r="D50" s="8">
        <f t="shared" si="2"/>
        <v>-10</v>
      </c>
      <c r="E50" s="7">
        <f t="shared" si="3"/>
        <v>0.93333333333333335</v>
      </c>
      <c r="M50" s="8">
        <f>150</f>
        <v>150</v>
      </c>
    </row>
    <row r="51" spans="1:13" x14ac:dyDescent="0.25">
      <c r="A51" s="4" t="s">
        <v>84</v>
      </c>
      <c r="B51" s="8">
        <f>1875.61</f>
        <v>1875.61</v>
      </c>
      <c r="C51" s="8">
        <f>749.97</f>
        <v>749.97</v>
      </c>
      <c r="D51" s="8">
        <f t="shared" si="2"/>
        <v>1125.6399999999999</v>
      </c>
      <c r="E51" s="7">
        <f t="shared" si="3"/>
        <v>2.5009133698681278</v>
      </c>
      <c r="H51" s="81"/>
      <c r="M51" s="8">
        <f>666.64</f>
        <v>666.64</v>
      </c>
    </row>
    <row r="52" spans="1:13" x14ac:dyDescent="0.25">
      <c r="A52" s="4" t="s">
        <v>83</v>
      </c>
      <c r="B52" s="6">
        <f>((((((B45)+(B46))+(B47))+(B48))+(B49))+(B50))+(B51)</f>
        <v>6136.54</v>
      </c>
      <c r="C52" s="6">
        <f>((((((C45)+(C46))+(C47))+(C48))+(C49))+(C50))+(C51)</f>
        <v>7374.9400000000005</v>
      </c>
      <c r="D52" s="6">
        <f t="shared" si="2"/>
        <v>-1238.4000000000005</v>
      </c>
      <c r="E52" s="5">
        <f t="shared" si="3"/>
        <v>0.83207998980330677</v>
      </c>
      <c r="H52" s="81">
        <f>+B52</f>
        <v>6136.54</v>
      </c>
      <c r="I52" s="81">
        <f>+C52</f>
        <v>7374.9400000000005</v>
      </c>
      <c r="J52" s="82">
        <f>+I52-H52</f>
        <v>1238.4000000000005</v>
      </c>
      <c r="M52" s="6">
        <f>((((((M45)+(M46))+(M47))+(M48))+(M49))+(M50))+(M51)</f>
        <v>6733.2800000000007</v>
      </c>
    </row>
    <row r="53" spans="1:13" x14ac:dyDescent="0.25">
      <c r="A53" s="4" t="s">
        <v>82</v>
      </c>
      <c r="B53" s="3"/>
      <c r="C53" s="3"/>
      <c r="D53" s="8">
        <f t="shared" si="2"/>
        <v>0</v>
      </c>
      <c r="E53" s="7" t="str">
        <f t="shared" si="3"/>
        <v/>
      </c>
      <c r="M53" s="3"/>
    </row>
    <row r="54" spans="1:13" x14ac:dyDescent="0.25">
      <c r="A54" s="4" t="s">
        <v>81</v>
      </c>
      <c r="B54" s="8">
        <f>2353.15</f>
        <v>2353.15</v>
      </c>
      <c r="C54" s="8">
        <f>1500.03</f>
        <v>1500.03</v>
      </c>
      <c r="D54" s="8">
        <f t="shared" si="2"/>
        <v>853.12000000000012</v>
      </c>
      <c r="E54" s="7">
        <f t="shared" si="3"/>
        <v>1.5687352919608275</v>
      </c>
      <c r="M54" s="8">
        <f>1333.36</f>
        <v>1333.36</v>
      </c>
    </row>
    <row r="55" spans="1:13" x14ac:dyDescent="0.25">
      <c r="A55" s="4" t="s">
        <v>80</v>
      </c>
      <c r="B55" s="3"/>
      <c r="C55" s="8">
        <f>375.03</f>
        <v>375.03</v>
      </c>
      <c r="D55" s="8">
        <f t="shared" si="2"/>
        <v>-375.03</v>
      </c>
      <c r="E55" s="7">
        <f t="shared" si="3"/>
        <v>0</v>
      </c>
      <c r="M55" s="8">
        <f>333.36</f>
        <v>333.36</v>
      </c>
    </row>
    <row r="56" spans="1:13" x14ac:dyDescent="0.25">
      <c r="A56" s="4" t="s">
        <v>79</v>
      </c>
      <c r="B56" s="8">
        <f>58.29</f>
        <v>58.29</v>
      </c>
      <c r="C56" s="3"/>
      <c r="D56" s="8">
        <f t="shared" si="2"/>
        <v>58.29</v>
      </c>
      <c r="E56" s="7" t="str">
        <f t="shared" si="3"/>
        <v/>
      </c>
      <c r="M56" s="3"/>
    </row>
    <row r="57" spans="1:13" x14ac:dyDescent="0.25">
      <c r="A57" s="4" t="s">
        <v>78</v>
      </c>
      <c r="B57" s="6">
        <f>(((B53)+(B54))+(B55))+(B56)</f>
        <v>2411.44</v>
      </c>
      <c r="C57" s="6">
        <f>(((C53)+(C54))+(C55))+(C56)</f>
        <v>1875.06</v>
      </c>
      <c r="D57" s="6">
        <f t="shared" si="2"/>
        <v>536.38000000000011</v>
      </c>
      <c r="E57" s="5">
        <f t="shared" si="3"/>
        <v>1.2860601794075923</v>
      </c>
      <c r="H57" s="81">
        <f>+B57</f>
        <v>2411.44</v>
      </c>
      <c r="I57" s="81">
        <f>+C57</f>
        <v>1875.06</v>
      </c>
      <c r="J57" s="82">
        <f>+I57-H57</f>
        <v>-536.38000000000011</v>
      </c>
      <c r="K57" s="92">
        <f>SUM(J26:J57)</f>
        <v>29.470000000012988</v>
      </c>
      <c r="M57" s="6">
        <f>(((M53)+(M54))+(M55))+(M56)</f>
        <v>1666.7199999999998</v>
      </c>
    </row>
    <row r="58" spans="1:13" x14ac:dyDescent="0.25">
      <c r="A58" s="4" t="s">
        <v>77</v>
      </c>
      <c r="B58" s="6">
        <f>((((((((((((((((B18)+(B19))+(B20))+(B21))+(B22))+(B23))+(B24))+(B25))+(B26))+(B27))+(B28))+(B29))+(B35))+(B40))+(B44))+(B52))+(B57)</f>
        <v>179114.5</v>
      </c>
      <c r="C58" s="6">
        <f>((((((((((((((((C18)+(C19))+(C20))+(C21))+(C22))+(C23))+(C24))+(C25))+(C26))+(C27))+(C28))+(C29))+(C35))+(C40))+(C44))+(C52))+(C57)</f>
        <v>179143.97</v>
      </c>
      <c r="D58" s="6">
        <f t="shared" si="2"/>
        <v>-29.470000000001164</v>
      </c>
      <c r="E58" s="5">
        <f t="shared" si="3"/>
        <v>0.99983549543978512</v>
      </c>
      <c r="H58" s="87"/>
      <c r="J58" s="80"/>
      <c r="M58" s="6">
        <f>((((((((((((((((M18)+(M19))+(M20))+(M21))+(M22))+(M23))+(M24))+(M25))+(M26))+(M27))+(M28))+(M29))+(M35))+(M40))+(M44))+(M52))+(M57)</f>
        <v>163685.64000000001</v>
      </c>
    </row>
    <row r="59" spans="1:13" x14ac:dyDescent="0.25">
      <c r="A59" s="4" t="s">
        <v>76</v>
      </c>
      <c r="B59" s="6">
        <f>(B16)-(B58)</f>
        <v>-35601.359999999986</v>
      </c>
      <c r="C59" s="6">
        <f>(C16)-(C58)</f>
        <v>-36143.97</v>
      </c>
      <c r="D59" s="6">
        <f t="shared" si="2"/>
        <v>542.61000000001513</v>
      </c>
      <c r="E59" s="5">
        <f t="shared" si="3"/>
        <v>0.98498753734025302</v>
      </c>
      <c r="H59" s="84">
        <f>SUM(H27:H58)</f>
        <v>179114.5</v>
      </c>
      <c r="I59" s="84">
        <f>SUM(I27:I58)</f>
        <v>179143.97</v>
      </c>
      <c r="J59" s="85">
        <f>+I59-H59</f>
        <v>29.470000000001164</v>
      </c>
      <c r="K59" s="80"/>
      <c r="M59" s="6">
        <f>(M16)-(M58)</f>
        <v>21314.359999999986</v>
      </c>
    </row>
    <row r="60" spans="1:13" x14ac:dyDescent="0.25">
      <c r="A60" s="4" t="s">
        <v>75</v>
      </c>
      <c r="B60" s="3"/>
      <c r="C60" s="3"/>
      <c r="D60" s="3"/>
      <c r="E60" s="3"/>
      <c r="H60" s="92">
        <f>+H16-H59</f>
        <v>-35601.359999999986</v>
      </c>
      <c r="I60" s="92">
        <f>+I16-I59</f>
        <v>-36143.97</v>
      </c>
      <c r="J60" s="92">
        <f>+H60-I60</f>
        <v>542.61000000001513</v>
      </c>
      <c r="K60" s="82"/>
    </row>
    <row r="61" spans="1:13" s="97" customFormat="1" x14ac:dyDescent="0.25">
      <c r="A61" s="4" t="s">
        <v>74</v>
      </c>
      <c r="B61" s="8">
        <f>1633583.55</f>
        <v>1633583.55</v>
      </c>
      <c r="C61" s="3"/>
      <c r="D61" s="8">
        <f t="shared" ref="D61:D69" si="5">(B61)-(C61)</f>
        <v>1633583.55</v>
      </c>
      <c r="E61" s="7" t="str">
        <f t="shared" ref="E61:E69" si="6">IF(C61=0,"",(B61)/(C61))</f>
        <v/>
      </c>
    </row>
    <row r="62" spans="1:13" s="97" customFormat="1" x14ac:dyDescent="0.25">
      <c r="A62" s="4" t="s">
        <v>73</v>
      </c>
      <c r="B62" s="3"/>
      <c r="C62" s="3"/>
      <c r="D62" s="8">
        <f t="shared" si="5"/>
        <v>0</v>
      </c>
      <c r="E62" s="7" t="str">
        <f t="shared" si="6"/>
        <v/>
      </c>
    </row>
    <row r="63" spans="1:13" s="97" customFormat="1" x14ac:dyDescent="0.25">
      <c r="A63" s="4" t="s">
        <v>72</v>
      </c>
      <c r="B63" s="8">
        <f>207650.37</f>
        <v>207650.37</v>
      </c>
      <c r="C63" s="3"/>
      <c r="D63" s="8">
        <f t="shared" si="5"/>
        <v>207650.37</v>
      </c>
      <c r="E63" s="7" t="str">
        <f t="shared" si="6"/>
        <v/>
      </c>
    </row>
    <row r="64" spans="1:13" x14ac:dyDescent="0.25">
      <c r="A64" s="4" t="s">
        <v>210</v>
      </c>
      <c r="B64" s="8">
        <f>372097.02</f>
        <v>372097.02</v>
      </c>
      <c r="C64" s="3"/>
      <c r="D64" s="8">
        <f t="shared" si="5"/>
        <v>372097.02</v>
      </c>
      <c r="E64" s="7" t="str">
        <f t="shared" si="6"/>
        <v/>
      </c>
    </row>
    <row r="65" spans="1:7" x14ac:dyDescent="0.25">
      <c r="A65" s="4" t="s">
        <v>71</v>
      </c>
      <c r="B65" s="8">
        <f>-1164466.71</f>
        <v>-1164466.71</v>
      </c>
      <c r="C65" s="3"/>
      <c r="D65" s="8">
        <f t="shared" si="5"/>
        <v>-1164466.71</v>
      </c>
      <c r="E65" s="7" t="str">
        <f t="shared" si="6"/>
        <v/>
      </c>
    </row>
    <row r="66" spans="1:7" x14ac:dyDescent="0.25">
      <c r="A66" s="4" t="s">
        <v>70</v>
      </c>
      <c r="B66" s="8">
        <f>-91811.79</f>
        <v>-91811.79</v>
      </c>
      <c r="C66" s="3"/>
      <c r="D66" s="8">
        <f t="shared" si="5"/>
        <v>-91811.79</v>
      </c>
      <c r="E66" s="7" t="str">
        <f t="shared" si="6"/>
        <v/>
      </c>
    </row>
    <row r="67" spans="1:7" x14ac:dyDescent="0.25">
      <c r="A67" s="4" t="s">
        <v>69</v>
      </c>
      <c r="B67" s="6">
        <f>((((B62)+(B63))+(B64))+(B65))+(B66)</f>
        <v>-676531.11</v>
      </c>
      <c r="C67" s="6">
        <f>((((C62)+(C63))+(C64))+(C65))+(C66)</f>
        <v>0</v>
      </c>
      <c r="D67" s="6">
        <f t="shared" si="5"/>
        <v>-676531.11</v>
      </c>
      <c r="E67" s="5" t="str">
        <f t="shared" si="6"/>
        <v/>
      </c>
    </row>
    <row r="68" spans="1:7" x14ac:dyDescent="0.25">
      <c r="A68" s="4" t="s">
        <v>68</v>
      </c>
      <c r="B68" s="8">
        <f>27625</f>
        <v>27625</v>
      </c>
      <c r="C68" s="8">
        <f>27625</f>
        <v>27625</v>
      </c>
      <c r="D68" s="8">
        <f t="shared" si="5"/>
        <v>0</v>
      </c>
      <c r="E68" s="7">
        <f t="shared" si="6"/>
        <v>1</v>
      </c>
    </row>
    <row r="69" spans="1:7" x14ac:dyDescent="0.25">
      <c r="A69" s="4" t="s">
        <v>67</v>
      </c>
      <c r="B69" s="6">
        <f>((B61)+(B67))+(B68)</f>
        <v>984677.44000000006</v>
      </c>
      <c r="C69" s="6">
        <f>((C61)+(C67))+(C68)</f>
        <v>27625</v>
      </c>
      <c r="D69" s="6">
        <f t="shared" si="5"/>
        <v>957052.44000000006</v>
      </c>
      <c r="E69" s="5">
        <f t="shared" si="6"/>
        <v>35.64443221719457</v>
      </c>
    </row>
    <row r="70" spans="1:7" x14ac:dyDescent="0.25">
      <c r="A70" s="4" t="s">
        <v>66</v>
      </c>
      <c r="B70" s="3"/>
      <c r="C70" s="3"/>
      <c r="D70" s="3"/>
      <c r="E70" s="3"/>
    </row>
    <row r="71" spans="1:7" x14ac:dyDescent="0.25">
      <c r="A71" s="4" t="s">
        <v>65</v>
      </c>
      <c r="B71" s="8">
        <f>1417704.33</f>
        <v>1417704.33</v>
      </c>
      <c r="C71" s="3"/>
      <c r="D71" s="8">
        <f>(B71)-(C71)</f>
        <v>1417704.33</v>
      </c>
      <c r="E71" s="7" t="str">
        <f>IF(C71=0,"",(B71)/(C71))</f>
        <v/>
      </c>
    </row>
    <row r="72" spans="1:7" x14ac:dyDescent="0.25">
      <c r="A72" s="4" t="s">
        <v>64</v>
      </c>
      <c r="B72" s="6">
        <f>B71</f>
        <v>1417704.33</v>
      </c>
      <c r="C72" s="6">
        <f>C71</f>
        <v>0</v>
      </c>
      <c r="D72" s="6">
        <f>(B72)-(C72)</f>
        <v>1417704.33</v>
      </c>
      <c r="E72" s="5" t="str">
        <f>IF(C72=0,"",(B72)/(C72))</f>
        <v/>
      </c>
    </row>
    <row r="73" spans="1:7" x14ac:dyDescent="0.25">
      <c r="A73" s="4" t="s">
        <v>63</v>
      </c>
      <c r="B73" s="6">
        <f>(B69)-(B72)</f>
        <v>-433026.89</v>
      </c>
      <c r="C73" s="6">
        <f>(C69)-(C72)</f>
        <v>27625</v>
      </c>
      <c r="D73" s="6">
        <f>(B73)-(C73)</f>
        <v>-460651.89</v>
      </c>
      <c r="E73" s="5">
        <f>IF(C73=0,"",(B73)/(C73))</f>
        <v>-15.675181538461539</v>
      </c>
      <c r="F73">
        <v>102188.35</v>
      </c>
      <c r="G73" s="80">
        <f>+F73-D73</f>
        <v>562840.24</v>
      </c>
    </row>
    <row r="74" spans="1:7" x14ac:dyDescent="0.25">
      <c r="A74" s="4" t="s">
        <v>62</v>
      </c>
      <c r="B74" s="6">
        <f>(B59)+(B73)</f>
        <v>-468628.25</v>
      </c>
      <c r="C74" s="6">
        <f>(C59)+(C73)</f>
        <v>-8518.9700000000012</v>
      </c>
      <c r="D74" s="6">
        <f>(B74)-(C74)</f>
        <v>-460109.28</v>
      </c>
      <c r="E74" s="5">
        <f>IF(C74=0,"",(B74)/(C74))</f>
        <v>55.009965993541464</v>
      </c>
    </row>
    <row r="75" spans="1:7" x14ac:dyDescent="0.25">
      <c r="A75" s="4"/>
      <c r="B75" s="3"/>
      <c r="C75" s="3"/>
      <c r="D75" s="3"/>
      <c r="E75" s="3"/>
    </row>
    <row r="76" spans="1:7" x14ac:dyDescent="0.25">
      <c r="A76" s="120" t="s">
        <v>61</v>
      </c>
      <c r="B76" s="120"/>
      <c r="C76" s="120"/>
      <c r="D76" s="120"/>
      <c r="E76" s="120"/>
    </row>
    <row r="77" spans="1:7" x14ac:dyDescent="0.25">
      <c r="A77" s="110"/>
      <c r="B77" s="110"/>
      <c r="C77" s="110"/>
      <c r="D77" s="110"/>
      <c r="E77" s="110"/>
    </row>
    <row r="78" spans="1:7" x14ac:dyDescent="0.25">
      <c r="A78" s="121" t="s">
        <v>259</v>
      </c>
      <c r="B78" s="117"/>
      <c r="C78" s="117"/>
      <c r="D78" s="117"/>
      <c r="E78" s="117"/>
    </row>
    <row r="79" spans="1:7" x14ac:dyDescent="0.25">
      <c r="A79" s="120" t="s">
        <v>61</v>
      </c>
      <c r="B79" s="120"/>
      <c r="C79" s="120"/>
      <c r="D79" s="120"/>
      <c r="E79" s="120"/>
    </row>
    <row r="80" spans="1:7" x14ac:dyDescent="0.25">
      <c r="A80" s="96"/>
      <c r="B80" s="96"/>
      <c r="C80" s="96"/>
      <c r="D80" s="96"/>
      <c r="E80" s="96"/>
    </row>
    <row r="81" spans="1:6" x14ac:dyDescent="0.25">
      <c r="A81" s="121" t="s">
        <v>211</v>
      </c>
      <c r="B81" s="117"/>
      <c r="C81" s="117"/>
      <c r="D81" s="117"/>
      <c r="E81" s="117"/>
    </row>
    <row r="82" spans="1:6" x14ac:dyDescent="0.25">
      <c r="B82" t="s">
        <v>197</v>
      </c>
      <c r="C82" s="95">
        <v>22541.67</v>
      </c>
      <c r="D82" s="95"/>
    </row>
    <row r="83" spans="1:6" x14ac:dyDescent="0.25">
      <c r="B83" t="s">
        <v>198</v>
      </c>
      <c r="C83" s="95">
        <v>-10644.33</v>
      </c>
      <c r="D83" s="95">
        <f>+C83+C82</f>
        <v>11897.339999999998</v>
      </c>
    </row>
    <row r="84" spans="1:6" x14ac:dyDescent="0.25">
      <c r="B84" t="s">
        <v>199</v>
      </c>
      <c r="C84" s="95">
        <f>13516.67-27625</f>
        <v>-14108.33</v>
      </c>
      <c r="D84" s="95">
        <f>+D83+C84</f>
        <v>-2210.9900000000016</v>
      </c>
    </row>
    <row r="85" spans="1:6" x14ac:dyDescent="0.25">
      <c r="B85" t="s">
        <v>200</v>
      </c>
      <c r="C85" s="95">
        <v>21716.67</v>
      </c>
      <c r="D85" s="95">
        <f>+D84+C85</f>
        <v>19505.679999999997</v>
      </c>
    </row>
    <row r="86" spans="1:6" x14ac:dyDescent="0.25">
      <c r="B86" t="s">
        <v>201</v>
      </c>
      <c r="C86" s="95">
        <v>-22399.33</v>
      </c>
      <c r="D86" s="102">
        <f>+D85+C86</f>
        <v>-2893.6500000000051</v>
      </c>
    </row>
    <row r="87" spans="1:6" x14ac:dyDescent="0.25">
      <c r="B87" t="s">
        <v>202</v>
      </c>
      <c r="C87" s="95">
        <v>-16408.330000000002</v>
      </c>
      <c r="D87" s="95">
        <f t="shared" ref="D87:D93" si="7">+D86+C87</f>
        <v>-19301.980000000007</v>
      </c>
    </row>
    <row r="88" spans="1:6" x14ac:dyDescent="0.25">
      <c r="B88" t="s">
        <v>203</v>
      </c>
      <c r="C88" s="95">
        <v>27041.67</v>
      </c>
      <c r="D88" s="95">
        <f t="shared" si="7"/>
        <v>7739.6899999999914</v>
      </c>
    </row>
    <row r="89" spans="1:6" x14ac:dyDescent="0.25">
      <c r="B89" t="s">
        <v>204</v>
      </c>
      <c r="C89" s="95">
        <v>-28925.33</v>
      </c>
      <c r="D89" s="95">
        <f t="shared" si="7"/>
        <v>-21185.64000000001</v>
      </c>
    </row>
    <row r="90" spans="1:6" x14ac:dyDescent="0.25">
      <c r="B90" t="s">
        <v>205</v>
      </c>
      <c r="C90" s="95">
        <v>-14958.33</v>
      </c>
      <c r="D90" s="95">
        <f t="shared" si="7"/>
        <v>-36143.970000000008</v>
      </c>
    </row>
    <row r="91" spans="1:6" x14ac:dyDescent="0.25">
      <c r="B91" t="s">
        <v>206</v>
      </c>
      <c r="C91" s="95">
        <v>23491.67</v>
      </c>
      <c r="D91" s="95">
        <f t="shared" si="7"/>
        <v>-12652.30000000001</v>
      </c>
    </row>
    <row r="92" spans="1:6" x14ac:dyDescent="0.25">
      <c r="B92" t="s">
        <v>207</v>
      </c>
      <c r="C92" s="95">
        <v>-22100.33</v>
      </c>
      <c r="D92" s="95">
        <f t="shared" si="7"/>
        <v>-34752.630000000012</v>
      </c>
    </row>
    <row r="93" spans="1:6" x14ac:dyDescent="0.25">
      <c r="B93" t="s">
        <v>208</v>
      </c>
      <c r="C93" s="95">
        <v>-13458.37</v>
      </c>
      <c r="D93" s="95">
        <f t="shared" si="7"/>
        <v>-48211.000000000015</v>
      </c>
      <c r="E93" s="95">
        <v>27625</v>
      </c>
      <c r="F93" s="76">
        <f>+D93+E93</f>
        <v>-20586.000000000015</v>
      </c>
    </row>
    <row r="94" spans="1:6" x14ac:dyDescent="0.25">
      <c r="C94" s="95"/>
      <c r="D94" s="95"/>
      <c r="E94" t="s">
        <v>209</v>
      </c>
    </row>
  </sheetData>
  <mergeCells count="8">
    <mergeCell ref="A81:E81"/>
    <mergeCell ref="B5:E5"/>
    <mergeCell ref="A1:E1"/>
    <mergeCell ref="A2:E2"/>
    <mergeCell ref="A3:E3"/>
    <mergeCell ref="A79:E79"/>
    <mergeCell ref="A76:E76"/>
    <mergeCell ref="A78:E7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68F0-7622-4EE2-AEAE-ED113C6060A4}">
  <dimension ref="A1:H11"/>
  <sheetViews>
    <sheetView workbookViewId="0">
      <selection activeCell="A11" sqref="A11:G11"/>
    </sheetView>
  </sheetViews>
  <sheetFormatPr defaultRowHeight="15" x14ac:dyDescent="0.25"/>
  <cols>
    <col min="1" max="1" width="55.85546875" style="88" customWidth="1"/>
    <col min="2" max="7" width="11.140625" style="88" customWidth="1"/>
    <col min="8" max="16384" width="9.140625" style="88"/>
  </cols>
  <sheetData>
    <row r="1" spans="1:8" ht="18" x14ac:dyDescent="0.25">
      <c r="A1" s="118" t="s">
        <v>59</v>
      </c>
      <c r="B1" s="117"/>
      <c r="C1" s="117"/>
      <c r="D1" s="117"/>
      <c r="E1" s="117"/>
      <c r="F1" s="117"/>
      <c r="G1" s="117"/>
    </row>
    <row r="2" spans="1:8" ht="18" x14ac:dyDescent="0.25">
      <c r="A2" s="118" t="s">
        <v>138</v>
      </c>
      <c r="B2" s="117"/>
      <c r="C2" s="117"/>
      <c r="D2" s="117"/>
      <c r="E2" s="117"/>
      <c r="F2" s="117"/>
      <c r="G2" s="117"/>
    </row>
    <row r="3" spans="1:8" x14ac:dyDescent="0.25">
      <c r="A3" s="119" t="s">
        <v>256</v>
      </c>
      <c r="B3" s="117"/>
      <c r="C3" s="117"/>
      <c r="D3" s="117"/>
      <c r="E3" s="117"/>
      <c r="F3" s="117"/>
      <c r="G3" s="117"/>
    </row>
    <row r="4" spans="1:8" x14ac:dyDescent="0.25">
      <c r="A4" s="110"/>
      <c r="B4" s="110"/>
      <c r="C4" s="110"/>
      <c r="D4" s="110"/>
      <c r="E4" s="110"/>
      <c r="F4" s="110"/>
      <c r="G4" s="110"/>
    </row>
    <row r="5" spans="1:8" x14ac:dyDescent="0.25">
      <c r="A5" s="1"/>
      <c r="B5" s="111" t="s">
        <v>137</v>
      </c>
      <c r="C5" s="111" t="s">
        <v>136</v>
      </c>
      <c r="D5" s="111" t="s">
        <v>135</v>
      </c>
      <c r="E5" s="111" t="s">
        <v>134</v>
      </c>
      <c r="F5" s="111" t="s">
        <v>133</v>
      </c>
      <c r="G5" s="111" t="s">
        <v>0</v>
      </c>
      <c r="H5" s="94"/>
    </row>
    <row r="6" spans="1:8" ht="23.25" x14ac:dyDescent="0.25">
      <c r="A6" s="4" t="s">
        <v>196</v>
      </c>
      <c r="B6" s="3"/>
      <c r="C6" s="3"/>
      <c r="D6" s="3"/>
      <c r="E6" s="3"/>
      <c r="F6" s="8">
        <f>5000</f>
        <v>5000</v>
      </c>
      <c r="G6" s="8">
        <f>((((B6)+(C6))+(D6))+(E6))+(F6)</f>
        <v>5000</v>
      </c>
      <c r="H6" s="94"/>
    </row>
    <row r="7" spans="1:8" x14ac:dyDescent="0.25">
      <c r="A7" s="4" t="s">
        <v>132</v>
      </c>
      <c r="B7" s="6">
        <f>B6</f>
        <v>0</v>
      </c>
      <c r="C7" s="6">
        <f>C6</f>
        <v>0</v>
      </c>
      <c r="D7" s="6">
        <f>D6</f>
        <v>0</v>
      </c>
      <c r="E7" s="6">
        <f>E6</f>
        <v>0</v>
      </c>
      <c r="F7" s="6">
        <f>F6</f>
        <v>5000</v>
      </c>
      <c r="G7" s="6">
        <f>((((B7)+(C7))+(D7))+(E7))+(F7)</f>
        <v>5000</v>
      </c>
      <c r="H7" s="94"/>
    </row>
    <row r="8" spans="1:8" x14ac:dyDescent="0.25">
      <c r="A8" s="4"/>
      <c r="B8" s="3"/>
      <c r="C8" s="3"/>
      <c r="D8" s="3"/>
      <c r="E8" s="3"/>
      <c r="F8" s="3"/>
      <c r="G8" s="3"/>
      <c r="H8" s="94"/>
    </row>
    <row r="9" spans="1:8" x14ac:dyDescent="0.25">
      <c r="A9" s="110"/>
      <c r="B9" s="110"/>
      <c r="C9" s="110"/>
      <c r="D9" s="110"/>
      <c r="E9" s="110"/>
      <c r="F9" s="110"/>
      <c r="G9" s="110"/>
      <c r="H9" s="94"/>
    </row>
    <row r="10" spans="1:8" x14ac:dyDescent="0.25">
      <c r="A10" s="110"/>
      <c r="B10" s="110"/>
      <c r="C10" s="110"/>
      <c r="D10" s="110"/>
      <c r="E10" s="110"/>
      <c r="F10" s="110"/>
      <c r="G10" s="110"/>
      <c r="H10" s="94"/>
    </row>
    <row r="11" spans="1:8" x14ac:dyDescent="0.25">
      <c r="A11" s="121" t="s">
        <v>260</v>
      </c>
      <c r="B11" s="117"/>
      <c r="C11" s="117"/>
      <c r="D11" s="117"/>
      <c r="E11" s="117"/>
      <c r="F11" s="117"/>
      <c r="G11" s="117"/>
      <c r="H11" s="94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7"/>
  <sheetViews>
    <sheetView workbookViewId="0">
      <selection activeCell="A17" sqref="A17:G17"/>
    </sheetView>
  </sheetViews>
  <sheetFormatPr defaultRowHeight="15" x14ac:dyDescent="0.25"/>
  <cols>
    <col min="1" max="1" width="35.28515625" style="96" customWidth="1"/>
    <col min="2" max="7" width="11.140625" style="96" customWidth="1"/>
    <col min="8" max="16384" width="9.140625" style="96"/>
  </cols>
  <sheetData>
    <row r="1" spans="1:7" ht="18" x14ac:dyDescent="0.25">
      <c r="A1" s="118" t="s">
        <v>59</v>
      </c>
      <c r="B1" s="117"/>
      <c r="C1" s="117"/>
      <c r="D1" s="117"/>
      <c r="E1" s="117"/>
      <c r="F1" s="117"/>
      <c r="G1" s="117"/>
    </row>
    <row r="2" spans="1:7" ht="18" x14ac:dyDescent="0.25">
      <c r="A2" s="118" t="s">
        <v>140</v>
      </c>
      <c r="B2" s="117"/>
      <c r="C2" s="117"/>
      <c r="D2" s="117"/>
      <c r="E2" s="117"/>
      <c r="F2" s="117"/>
      <c r="G2" s="117"/>
    </row>
    <row r="3" spans="1:7" x14ac:dyDescent="0.25">
      <c r="A3" s="119" t="s">
        <v>256</v>
      </c>
      <c r="B3" s="117"/>
      <c r="C3" s="117"/>
      <c r="D3" s="117"/>
      <c r="E3" s="117"/>
      <c r="F3" s="117"/>
      <c r="G3" s="117"/>
    </row>
    <row r="4" spans="1:7" x14ac:dyDescent="0.25">
      <c r="A4" s="110"/>
      <c r="B4" s="110"/>
      <c r="C4" s="110"/>
      <c r="D4" s="110"/>
      <c r="E4" s="110"/>
      <c r="F4" s="110"/>
      <c r="G4" s="110"/>
    </row>
    <row r="5" spans="1:7" x14ac:dyDescent="0.25">
      <c r="A5" s="1"/>
      <c r="B5" s="111" t="s">
        <v>137</v>
      </c>
      <c r="C5" s="111" t="s">
        <v>136</v>
      </c>
      <c r="D5" s="111" t="s">
        <v>135</v>
      </c>
      <c r="E5" s="111" t="s">
        <v>134</v>
      </c>
      <c r="F5" s="111" t="s">
        <v>133</v>
      </c>
      <c r="G5" s="111" t="s">
        <v>0</v>
      </c>
    </row>
    <row r="6" spans="1:7" x14ac:dyDescent="0.25">
      <c r="A6" s="4" t="s">
        <v>261</v>
      </c>
      <c r="B6" s="3"/>
      <c r="C6" s="8">
        <f>90.75</f>
        <v>90.75</v>
      </c>
      <c r="D6" s="3"/>
      <c r="E6" s="3"/>
      <c r="F6" s="3"/>
      <c r="G6" s="8">
        <f>((((B6)+(C6))+(D6))+(E6))+(F6)</f>
        <v>90.75</v>
      </c>
    </row>
    <row r="7" spans="1:7" x14ac:dyDescent="0.25">
      <c r="A7" s="4" t="s">
        <v>212</v>
      </c>
      <c r="B7" s="8">
        <f>2200</f>
        <v>2200</v>
      </c>
      <c r="C7" s="3"/>
      <c r="D7" s="3"/>
      <c r="E7" s="3"/>
      <c r="F7" s="3"/>
      <c r="G7" s="8">
        <f>((((B7)+(C7))+(D7))+(E7))+(F7)</f>
        <v>2200</v>
      </c>
    </row>
    <row r="8" spans="1:7" x14ac:dyDescent="0.25">
      <c r="A8" s="4" t="s">
        <v>262</v>
      </c>
      <c r="B8" s="8">
        <f>368.21</f>
        <v>368.21</v>
      </c>
      <c r="C8" s="3"/>
      <c r="D8" s="3"/>
      <c r="E8" s="3"/>
      <c r="F8" s="3"/>
      <c r="G8" s="8">
        <f>((((B8)+(C8))+(D8))+(E8))+(F8)</f>
        <v>368.21</v>
      </c>
    </row>
    <row r="9" spans="1:7" x14ac:dyDescent="0.25">
      <c r="A9" s="4" t="s">
        <v>139</v>
      </c>
      <c r="B9" s="3"/>
      <c r="C9" s="3"/>
      <c r="D9" s="8">
        <f>-100</f>
        <v>-100</v>
      </c>
      <c r="E9" s="3"/>
      <c r="F9" s="3"/>
      <c r="G9" s="8">
        <f>((((B9)+(C9))+(D9))+(E9))+(F9)</f>
        <v>-100</v>
      </c>
    </row>
    <row r="10" spans="1:7" x14ac:dyDescent="0.25">
      <c r="A10" s="4" t="s">
        <v>132</v>
      </c>
      <c r="B10" s="6">
        <f>(((B6)+(B7))+(B8))+(B9)</f>
        <v>2568.21</v>
      </c>
      <c r="C10" s="6">
        <f>(((C6)+(C7))+(C8))+(C9)</f>
        <v>90.75</v>
      </c>
      <c r="D10" s="6">
        <f>(((D6)+(D7))+(D8))+(D9)</f>
        <v>-100</v>
      </c>
      <c r="E10" s="6">
        <f>(((E6)+(E7))+(E8))+(E9)</f>
        <v>0</v>
      </c>
      <c r="F10" s="6">
        <f>(((F6)+(F7))+(F8))+(F9)</f>
        <v>0</v>
      </c>
      <c r="G10" s="6">
        <f>((((B10)+(C10))+(D10))+(E10))+(F10)</f>
        <v>2558.96</v>
      </c>
    </row>
    <row r="11" spans="1:7" x14ac:dyDescent="0.25">
      <c r="A11" s="103"/>
      <c r="B11" s="103"/>
      <c r="C11" s="103"/>
      <c r="D11" s="103"/>
      <c r="E11" s="103"/>
      <c r="F11" s="103"/>
      <c r="G11" s="103"/>
    </row>
    <row r="12" spans="1:7" x14ac:dyDescent="0.25">
      <c r="A12" s="103"/>
      <c r="B12" s="103"/>
      <c r="C12" s="103"/>
      <c r="D12" s="103"/>
      <c r="E12" s="103"/>
      <c r="F12" s="103"/>
      <c r="G12" s="103"/>
    </row>
    <row r="13" spans="1:7" x14ac:dyDescent="0.25">
      <c r="A13" s="121" t="s">
        <v>215</v>
      </c>
      <c r="B13" s="117"/>
      <c r="C13" s="117"/>
      <c r="D13" s="117"/>
      <c r="E13" s="117"/>
      <c r="F13" s="117"/>
      <c r="G13" s="117"/>
    </row>
    <row r="14" spans="1:7" x14ac:dyDescent="0.25">
      <c r="A14" s="4"/>
      <c r="B14" s="3"/>
      <c r="C14" s="3"/>
      <c r="D14" s="3"/>
      <c r="E14" s="3"/>
      <c r="F14" s="3"/>
      <c r="G14" s="3"/>
    </row>
    <row r="17" spans="1:7" x14ac:dyDescent="0.25">
      <c r="A17" s="121"/>
      <c r="B17" s="117"/>
      <c r="C17" s="117"/>
      <c r="D17" s="117"/>
      <c r="E17" s="117"/>
      <c r="F17" s="117"/>
      <c r="G17" s="117"/>
    </row>
  </sheetData>
  <mergeCells count="5">
    <mergeCell ref="A1:G1"/>
    <mergeCell ref="A2:G2"/>
    <mergeCell ref="A3:G3"/>
    <mergeCell ref="A17:G17"/>
    <mergeCell ref="A13:G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76FE7B-C8FB-47F5-89CC-74BF064E4DF6}"/>
</file>

<file path=customXml/itemProps2.xml><?xml version="1.0" encoding="utf-8"?>
<ds:datastoreItem xmlns:ds="http://schemas.openxmlformats.org/officeDocument/2006/customXml" ds:itemID="{35E27911-F3D8-4F30-91F9-3534E3631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Summary Table</vt:lpstr>
      <vt:lpstr>Funds and Assets</vt:lpstr>
      <vt:lpstr>Statement of Financial Position</vt:lpstr>
      <vt:lpstr>Budget vs. Actuals</vt:lpstr>
      <vt:lpstr>A R Aging Summary</vt:lpstr>
      <vt:lpstr>A P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dcterms:created xsi:type="dcterms:W3CDTF">2021-09-20T13:27:09Z</dcterms:created>
  <dcterms:modified xsi:type="dcterms:W3CDTF">2022-04-26T00:09:19Z</dcterms:modified>
</cp:coreProperties>
</file>